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6005" windowHeight="10845" tabRatio="500" activeTab="1"/>
  </bookViews>
  <sheets>
    <sheet name="Beleuchtungskonzept" sheetId="8" r:id="rId1"/>
    <sheet name="Contractingberechnung" sheetId="4" r:id="rId2"/>
    <sheet name="Renditebetrachtung EPC" sheetId="6" r:id="rId3"/>
    <sheet name="Einsparbetrachtung Kunde Strom" sheetId="3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4" l="1"/>
  <c r="F13" i="8"/>
  <c r="G13" i="8"/>
  <c r="H13" i="8"/>
  <c r="I13" i="8"/>
  <c r="J13" i="8"/>
  <c r="F14" i="8"/>
  <c r="G14" i="8"/>
  <c r="H14" i="8"/>
  <c r="I14" i="8"/>
  <c r="J14" i="8"/>
  <c r="J17" i="8"/>
  <c r="C3" i="3"/>
  <c r="C4" i="3"/>
  <c r="H4" i="8"/>
  <c r="I4" i="8"/>
  <c r="J4" i="8"/>
  <c r="H5" i="8"/>
  <c r="I5" i="8"/>
  <c r="J5" i="8"/>
  <c r="J8" i="8"/>
  <c r="B3" i="3"/>
  <c r="B4" i="3"/>
  <c r="E4" i="3"/>
  <c r="C5" i="3"/>
  <c r="B5" i="3"/>
  <c r="E5" i="3"/>
  <c r="C6" i="3"/>
  <c r="B6" i="3"/>
  <c r="E6" i="3"/>
  <c r="C7" i="3"/>
  <c r="B7" i="3"/>
  <c r="E7" i="3"/>
  <c r="C8" i="3"/>
  <c r="B8" i="3"/>
  <c r="E8" i="3"/>
  <c r="E3" i="3"/>
  <c r="B10" i="3"/>
  <c r="B11" i="3"/>
  <c r="B12" i="3"/>
  <c r="B14" i="3"/>
  <c r="C10" i="3"/>
  <c r="C11" i="3"/>
  <c r="C12" i="3"/>
  <c r="C14" i="3"/>
  <c r="D14" i="3"/>
  <c r="D4" i="3"/>
  <c r="D5" i="3"/>
  <c r="D6" i="3"/>
  <c r="D7" i="3"/>
  <c r="D8" i="3"/>
  <c r="D9" i="3"/>
  <c r="D10" i="3"/>
  <c r="D11" i="3"/>
  <c r="D12" i="3"/>
  <c r="D3" i="3"/>
  <c r="I8" i="8"/>
  <c r="C19" i="4"/>
  <c r="C22" i="4"/>
  <c r="I17" i="8"/>
  <c r="C20" i="4"/>
  <c r="C23" i="4"/>
  <c r="D30" i="4"/>
  <c r="B20" i="6"/>
  <c r="C20" i="6"/>
  <c r="G20" i="8"/>
  <c r="H20" i="8"/>
  <c r="G21" i="8"/>
  <c r="H21" i="8"/>
  <c r="H24" i="8"/>
  <c r="C5" i="4"/>
  <c r="C3" i="4"/>
  <c r="D20" i="6"/>
  <c r="C13" i="4"/>
  <c r="C12" i="4"/>
  <c r="E20" i="6"/>
  <c r="F20" i="6"/>
  <c r="B21" i="6"/>
  <c r="C21" i="6"/>
  <c r="E21" i="6"/>
  <c r="F21" i="6"/>
  <c r="B22" i="6"/>
  <c r="C22" i="6"/>
  <c r="E22" i="6"/>
  <c r="F22" i="6"/>
  <c r="B23" i="6"/>
  <c r="C23" i="6"/>
  <c r="E23" i="6"/>
  <c r="F23" i="6"/>
  <c r="B24" i="6"/>
  <c r="C24" i="6"/>
  <c r="E24" i="6"/>
  <c r="F24" i="6"/>
  <c r="C25" i="6"/>
  <c r="F25" i="6"/>
  <c r="F31" i="6"/>
  <c r="B31" i="6"/>
  <c r="F34" i="6"/>
  <c r="D38" i="4"/>
  <c r="F32" i="6"/>
  <c r="D37" i="4"/>
  <c r="F33" i="6"/>
  <c r="E31" i="6"/>
  <c r="D31" i="6"/>
  <c r="B3" i="6"/>
  <c r="C3" i="6"/>
  <c r="D3" i="6"/>
  <c r="E3" i="6"/>
  <c r="F3" i="6"/>
  <c r="B27" i="6"/>
  <c r="B28" i="6"/>
  <c r="E27" i="6"/>
  <c r="E28" i="6"/>
  <c r="F28" i="6"/>
  <c r="G28" i="6"/>
  <c r="B29" i="6"/>
  <c r="E29" i="6"/>
  <c r="F29" i="6"/>
  <c r="G29" i="6"/>
  <c r="F27" i="6"/>
  <c r="F26" i="6"/>
  <c r="G20" i="6"/>
  <c r="G21" i="6"/>
  <c r="G22" i="6"/>
  <c r="G23" i="6"/>
  <c r="G24" i="6"/>
  <c r="B4" i="6"/>
  <c r="C4" i="6"/>
  <c r="E4" i="6"/>
  <c r="F4" i="6"/>
  <c r="B5" i="6"/>
  <c r="C5" i="6"/>
  <c r="E5" i="6"/>
  <c r="F5" i="6"/>
  <c r="B6" i="6"/>
  <c r="C6" i="6"/>
  <c r="E6" i="6"/>
  <c r="F6" i="6"/>
  <c r="B7" i="6"/>
  <c r="C7" i="6"/>
  <c r="E7" i="6"/>
  <c r="F7" i="6"/>
  <c r="F8" i="6"/>
  <c r="F15" i="6"/>
  <c r="B10" i="6"/>
  <c r="F10" i="6"/>
  <c r="B11" i="6"/>
  <c r="F11" i="6"/>
  <c r="B12" i="6"/>
  <c r="F12" i="6"/>
  <c r="F14" i="6"/>
  <c r="D35" i="4"/>
  <c r="D32" i="4"/>
  <c r="D31" i="4"/>
  <c r="F16" i="6"/>
  <c r="E10" i="6"/>
  <c r="E11" i="6"/>
  <c r="E12" i="6"/>
  <c r="C9" i="4"/>
  <c r="C10" i="4"/>
  <c r="C16" i="4"/>
  <c r="C25" i="4"/>
  <c r="C24" i="4"/>
  <c r="F9" i="6"/>
  <c r="D36" i="4"/>
  <c r="E14" i="6"/>
  <c r="D14" i="6"/>
  <c r="C14" i="6"/>
  <c r="B14" i="6"/>
  <c r="G3" i="6"/>
  <c r="G4" i="6"/>
  <c r="G5" i="6"/>
  <c r="G6" i="6"/>
  <c r="G7" i="6"/>
  <c r="G11" i="6"/>
  <c r="G12" i="6"/>
</calcChain>
</file>

<file path=xl/sharedStrings.xml><?xml version="1.0" encoding="utf-8"?>
<sst xmlns="http://schemas.openxmlformats.org/spreadsheetml/2006/main" count="137" uniqueCount="95">
  <si>
    <t>EUR</t>
  </si>
  <si>
    <t>Jahre</t>
  </si>
  <si>
    <t>Erlöse</t>
  </si>
  <si>
    <t>Energiekosten</t>
  </si>
  <si>
    <t>einmalige Kosten</t>
  </si>
  <si>
    <t>laufende Kosten</t>
  </si>
  <si>
    <t>EBITDA</t>
  </si>
  <si>
    <t>Interner Zinsfuss</t>
  </si>
  <si>
    <t>Laufzeit</t>
  </si>
  <si>
    <t>Jahr</t>
  </si>
  <si>
    <t>Zinssatz</t>
  </si>
  <si>
    <t>Kosten IST</t>
  </si>
  <si>
    <t>EBITDA kum.</t>
  </si>
  <si>
    <t>IST - Kosten</t>
  </si>
  <si>
    <t>SOLL-Kosten</t>
  </si>
  <si>
    <t>Einsparung Kunde</t>
  </si>
  <si>
    <t>Umsatzrendite</t>
  </si>
  <si>
    <t>Investitionssumme</t>
  </si>
  <si>
    <t>Gesamtverbrauch IST</t>
  </si>
  <si>
    <t>Planung (Aufnahme Leuchtpunkte, Erstellung Raumbuch etc.)</t>
  </si>
  <si>
    <t>Aufnahme Bestand</t>
  </si>
  <si>
    <t>Zone</t>
  </si>
  <si>
    <t>Leuchtmittel</t>
  </si>
  <si>
    <t>Leistung</t>
  </si>
  <si>
    <t>Anzahl</t>
  </si>
  <si>
    <t>Büros</t>
  </si>
  <si>
    <t>Dauer/Tag</t>
  </si>
  <si>
    <t>Halle</t>
  </si>
  <si>
    <t>Leuchtstoffröhre T 8 120cm inkl. EVG</t>
  </si>
  <si>
    <t>Brenndauer/a</t>
  </si>
  <si>
    <t>Leuchtstoffröhre T 8 150cm inkl. EVG</t>
  </si>
  <si>
    <t>Leistung [W]</t>
  </si>
  <si>
    <t>Anzahl AT/a</t>
  </si>
  <si>
    <t>Verbrauch (kWh/a)</t>
  </si>
  <si>
    <t>Gesamt</t>
  </si>
  <si>
    <t>Strompreis</t>
  </si>
  <si>
    <t>Kosten €/a</t>
  </si>
  <si>
    <t>Lichtplanung LED</t>
  </si>
  <si>
    <t>Einsparung (kWh/a)</t>
  </si>
  <si>
    <t>Einsparung (€/a)</t>
  </si>
  <si>
    <t>Kostenansätze</t>
  </si>
  <si>
    <t>LED Röhre 120cm</t>
  </si>
  <si>
    <t>LED Röhre 150 cm</t>
  </si>
  <si>
    <t>Stückpreis</t>
  </si>
  <si>
    <t>Demontage (€/Stück)</t>
  </si>
  <si>
    <t>Kosten pro Stück</t>
  </si>
  <si>
    <t>Kosten gesamt</t>
  </si>
  <si>
    <t>Summe Investtion</t>
  </si>
  <si>
    <t>Gesamverbrauch SOLL</t>
  </si>
  <si>
    <t>kwh/a</t>
  </si>
  <si>
    <t>kWh/a</t>
  </si>
  <si>
    <t>€/a</t>
  </si>
  <si>
    <t>Kapitalkosten</t>
  </si>
  <si>
    <t>Annuitätsfaktor</t>
  </si>
  <si>
    <t>Lfd. Kosten</t>
  </si>
  <si>
    <t>Wartung / Instandhaltung</t>
  </si>
  <si>
    <t>Allg. Verwaltungskosten</t>
  </si>
  <si>
    <t>Summe</t>
  </si>
  <si>
    <t>Gesamtkosten Contractor</t>
  </si>
  <si>
    <t>€</t>
  </si>
  <si>
    <t>Interner Zinsfuß</t>
  </si>
  <si>
    <t>Einspargarantie Kunde</t>
  </si>
  <si>
    <t>Kunde zahlt über die Vertragslaufzeit x% weniger als heutige Baseline</t>
  </si>
  <si>
    <t>Stromkosten SOLL</t>
  </si>
  <si>
    <t>€/kWh</t>
  </si>
  <si>
    <t xml:space="preserve">Preis </t>
  </si>
  <si>
    <t>Contracting-Kosten inkl. Energie</t>
  </si>
  <si>
    <t>Contractingrate (exkl. Stromkkosten)</t>
  </si>
  <si>
    <t>Einsparungen Kunde</t>
  </si>
  <si>
    <t>Einsparungen nach Vertragslaufzeit</t>
  </si>
  <si>
    <t>NPV</t>
  </si>
  <si>
    <t>Renditebrrachtung inkl. Energiekosten</t>
  </si>
  <si>
    <t>Renditebetrachtung exkl. Energiekosten</t>
  </si>
  <si>
    <t>Baseline (Verbrauch)</t>
  </si>
  <si>
    <t>Baseline (EURO)</t>
  </si>
  <si>
    <t>Einsparungen bezogen auf Stromverbrauch</t>
  </si>
  <si>
    <t>Einsparungen/a</t>
  </si>
  <si>
    <t>Einsparungen %</t>
  </si>
  <si>
    <t>Leuchttmittel</t>
  </si>
  <si>
    <t>Büro</t>
  </si>
  <si>
    <t>Einsparbetrachtung Strom</t>
  </si>
  <si>
    <t>Vorgaben / Dateneingabe</t>
  </si>
  <si>
    <t>Einsparungen während der Vertragslaufzeit</t>
  </si>
  <si>
    <t>aus Contracting (exkl. Strom)</t>
  </si>
  <si>
    <t>Gewinn Contractor</t>
  </si>
  <si>
    <t xml:space="preserve">Gewinn über die Vetragslaufzeit </t>
  </si>
  <si>
    <t>Gewinn Contractor (vor Steuern)</t>
  </si>
  <si>
    <t>Investition (Material, Lohn)</t>
  </si>
  <si>
    <t>Bemerkung</t>
  </si>
  <si>
    <t>Wert</t>
  </si>
  <si>
    <t>Einheit</t>
  </si>
  <si>
    <t>Berechnung Contractingrate / Preisblidung</t>
  </si>
  <si>
    <t>Wert ist so zu wählen, dass Rendite-anforderungen erfüllt werden</t>
  </si>
  <si>
    <t>Lohn (€/Stück)</t>
  </si>
  <si>
    <t>dieser Betrag ist bezogen auf die Baseline zu garantieren; geringere Einsparungen gehen zu Lasten des Contractors; höhere Einsparungen sind Vorteil des Kunden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</si>
</sst>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#,##0.000"/>
    <numFmt numFmtId="165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/>
    <xf numFmtId="9" fontId="0" fillId="0" borderId="0" xfId="1" applyFont="1"/>
    <xf numFmtId="9" fontId="0" fillId="0" borderId="0" xfId="0" applyNumberFormat="1"/>
    <xf numFmtId="0" fontId="2" fillId="0" borderId="0" xfId="0" applyFont="1"/>
    <xf numFmtId="2" fontId="0" fillId="0" borderId="0" xfId="1" applyNumberFormat="1" applyFont="1"/>
    <xf numFmtId="0" fontId="0" fillId="0" borderId="0" xfId="0" applyAlignment="1">
      <alignment wrapText="1"/>
    </xf>
    <xf numFmtId="8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3" fontId="0" fillId="0" borderId="1" xfId="0" applyNumberFormat="1" applyBorder="1"/>
    <xf numFmtId="3" fontId="0" fillId="2" borderId="1" xfId="0" applyNumberFormat="1" applyFill="1" applyBorder="1"/>
    <xf numFmtId="165" fontId="0" fillId="2" borderId="1" xfId="1" applyNumberFormat="1" applyFont="1" applyFill="1" applyBorder="1"/>
    <xf numFmtId="164" fontId="0" fillId="0" borderId="1" xfId="0" applyNumberFormat="1" applyBorder="1"/>
    <xf numFmtId="0" fontId="2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0" fontId="0" fillId="0" borderId="9" xfId="0" applyBorder="1"/>
    <xf numFmtId="0" fontId="2" fillId="3" borderId="2" xfId="0" applyFont="1" applyFill="1" applyBorder="1"/>
    <xf numFmtId="0" fontId="2" fillId="3" borderId="3" xfId="0" applyFont="1" applyFill="1" applyBorder="1"/>
    <xf numFmtId="3" fontId="2" fillId="3" borderId="3" xfId="0" applyNumberFormat="1" applyFont="1" applyFill="1" applyBorder="1"/>
    <xf numFmtId="0" fontId="0" fillId="3" borderId="4" xfId="0" applyFill="1" applyBorder="1"/>
    <xf numFmtId="0" fontId="2" fillId="3" borderId="10" xfId="0" applyFont="1" applyFill="1" applyBorder="1"/>
    <xf numFmtId="0" fontId="2" fillId="3" borderId="11" xfId="0" applyFont="1" applyFill="1" applyBorder="1"/>
    <xf numFmtId="3" fontId="2" fillId="3" borderId="11" xfId="0" applyNumberFormat="1" applyFont="1" applyFill="1" applyBorder="1"/>
    <xf numFmtId="0" fontId="2" fillId="3" borderId="12" xfId="0" applyFont="1" applyFill="1" applyBorder="1"/>
    <xf numFmtId="0" fontId="0" fillId="2" borderId="1" xfId="0" applyFill="1" applyBorder="1"/>
    <xf numFmtId="43" fontId="0" fillId="0" borderId="1" xfId="2" applyFont="1" applyBorder="1"/>
    <xf numFmtId="43" fontId="0" fillId="0" borderId="1" xfId="0" applyNumberFormat="1" applyBorder="1"/>
    <xf numFmtId="0" fontId="2" fillId="3" borderId="1" xfId="0" applyFont="1" applyFill="1" applyBorder="1"/>
    <xf numFmtId="0" fontId="0" fillId="3" borderId="1" xfId="0" applyFill="1" applyBorder="1"/>
    <xf numFmtId="3" fontId="0" fillId="3" borderId="1" xfId="0" applyNumberFormat="1" applyFill="1" applyBorder="1"/>
    <xf numFmtId="9" fontId="0" fillId="2" borderId="1" xfId="1" applyFont="1" applyFill="1" applyBorder="1"/>
    <xf numFmtId="0" fontId="0" fillId="0" borderId="3" xfId="0" applyBorder="1"/>
    <xf numFmtId="9" fontId="0" fillId="2" borderId="6" xfId="1" applyFont="1" applyFill="1" applyBorder="1"/>
    <xf numFmtId="2" fontId="0" fillId="0" borderId="6" xfId="1" applyNumberFormat="1" applyFont="1" applyBorder="1"/>
    <xf numFmtId="0" fontId="0" fillId="0" borderId="8" xfId="0" applyBorder="1" applyAlignment="1">
      <alignment wrapText="1"/>
    </xf>
    <xf numFmtId="9" fontId="0" fillId="0" borderId="8" xfId="1" applyFont="1" applyBorder="1"/>
    <xf numFmtId="2" fontId="0" fillId="0" borderId="9" xfId="1" applyNumberFormat="1" applyFont="1" applyBorder="1"/>
    <xf numFmtId="0" fontId="0" fillId="3" borderId="5" xfId="0" applyFill="1" applyBorder="1"/>
    <xf numFmtId="0" fontId="0" fillId="3" borderId="5" xfId="0" applyFill="1" applyBorder="1" applyAlignment="1">
      <alignment wrapText="1"/>
    </xf>
    <xf numFmtId="0" fontId="0" fillId="3" borderId="7" xfId="0" applyFill="1" applyBorder="1" applyAlignment="1">
      <alignment wrapText="1"/>
    </xf>
    <xf numFmtId="43" fontId="0" fillId="0" borderId="6" xfId="0" applyNumberFormat="1" applyBorder="1"/>
    <xf numFmtId="43" fontId="0" fillId="0" borderId="8" xfId="2" applyFont="1" applyBorder="1"/>
    <xf numFmtId="43" fontId="0" fillId="0" borderId="9" xfId="0" applyNumberFormat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43" fontId="0" fillId="0" borderId="9" xfId="2" applyFont="1" applyBorder="1"/>
    <xf numFmtId="0" fontId="0" fillId="3" borderId="2" xfId="0" applyFill="1" applyBorder="1"/>
    <xf numFmtId="0" fontId="0" fillId="3" borderId="3" xfId="0" applyFill="1" applyBorder="1"/>
    <xf numFmtId="9" fontId="0" fillId="0" borderId="1" xfId="0" applyNumberFormat="1" applyBorder="1"/>
    <xf numFmtId="2" fontId="0" fillId="0" borderId="1" xfId="0" applyNumberFormat="1" applyBorder="1"/>
    <xf numFmtId="9" fontId="0" fillId="0" borderId="8" xfId="0" applyNumberFormat="1" applyBorder="1"/>
    <xf numFmtId="0" fontId="2" fillId="3" borderId="2" xfId="0" applyFont="1" applyFill="1" applyBorder="1" applyAlignment="1">
      <alignment horizontal="left"/>
    </xf>
    <xf numFmtId="9" fontId="0" fillId="0" borderId="1" xfId="1" applyFont="1" applyBorder="1" applyAlignment="1">
      <alignment wrapText="1"/>
    </xf>
    <xf numFmtId="0" fontId="0" fillId="3" borderId="3" xfId="0" applyFill="1" applyBorder="1" applyAlignment="1">
      <alignment wrapText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7" workbookViewId="0">
      <selection activeCell="E14" sqref="E14"/>
    </sheetView>
  </sheetViews>
  <sheetFormatPr baseColWidth="10" defaultRowHeight="15.75" x14ac:dyDescent="0.25"/>
  <cols>
    <col min="1" max="1" width="14.625" customWidth="1"/>
    <col min="3" max="3" width="34.125" customWidth="1"/>
    <col min="7" max="8" width="13.625" customWidth="1"/>
    <col min="9" max="9" width="17.75" customWidth="1"/>
    <col min="10" max="10" width="14.125" customWidth="1"/>
  </cols>
  <sheetData>
    <row r="1" spans="1:10" ht="16.5" thickBot="1" x14ac:dyDescent="0.3"/>
    <row r="2" spans="1:10" x14ac:dyDescent="0.25">
      <c r="A2" s="15" t="s">
        <v>20</v>
      </c>
      <c r="B2" s="39"/>
      <c r="C2" s="39"/>
      <c r="D2" s="39"/>
      <c r="E2" s="39"/>
      <c r="F2" s="39"/>
      <c r="G2" s="39"/>
      <c r="H2" s="39"/>
      <c r="I2" s="39"/>
      <c r="J2" s="16"/>
    </row>
    <row r="3" spans="1:10" x14ac:dyDescent="0.25">
      <c r="A3" s="45"/>
      <c r="B3" s="36" t="s">
        <v>21</v>
      </c>
      <c r="C3" s="36" t="s">
        <v>22</v>
      </c>
      <c r="D3" s="36" t="s">
        <v>31</v>
      </c>
      <c r="E3" s="36" t="s">
        <v>24</v>
      </c>
      <c r="F3" s="36" t="s">
        <v>26</v>
      </c>
      <c r="G3" s="36" t="s">
        <v>32</v>
      </c>
      <c r="H3" s="36" t="s">
        <v>29</v>
      </c>
      <c r="I3" s="36" t="s">
        <v>33</v>
      </c>
      <c r="J3" s="51" t="s">
        <v>36</v>
      </c>
    </row>
    <row r="4" spans="1:10" x14ac:dyDescent="0.25">
      <c r="A4" s="45">
        <v>1</v>
      </c>
      <c r="B4" s="36" t="s">
        <v>25</v>
      </c>
      <c r="C4" s="8" t="s">
        <v>28</v>
      </c>
      <c r="D4" s="8">
        <v>45</v>
      </c>
      <c r="E4" s="8">
        <v>0</v>
      </c>
      <c r="F4" s="8">
        <v>9</v>
      </c>
      <c r="G4" s="8">
        <v>250</v>
      </c>
      <c r="H4" s="8">
        <f>F4*G4</f>
        <v>2250</v>
      </c>
      <c r="I4" s="33">
        <f>D4*E4*H4/1000</f>
        <v>0</v>
      </c>
      <c r="J4" s="48">
        <f>I4*Contractingberechnung!C21</f>
        <v>0</v>
      </c>
    </row>
    <row r="5" spans="1:10" x14ac:dyDescent="0.25">
      <c r="A5" s="45">
        <v>2</v>
      </c>
      <c r="B5" s="36" t="s">
        <v>27</v>
      </c>
      <c r="C5" s="8" t="s">
        <v>30</v>
      </c>
      <c r="D5" s="8">
        <v>67</v>
      </c>
      <c r="E5" s="8">
        <v>100</v>
      </c>
      <c r="F5" s="8">
        <v>12</v>
      </c>
      <c r="G5" s="8">
        <v>250</v>
      </c>
      <c r="H5" s="8">
        <f>F5*G5</f>
        <v>3000</v>
      </c>
      <c r="I5" s="33">
        <f>D5*E5*H5/1000</f>
        <v>20100</v>
      </c>
      <c r="J5" s="48">
        <f>I5*Contractingberechnung!C21</f>
        <v>3417.0000000000005</v>
      </c>
    </row>
    <row r="6" spans="1:10" x14ac:dyDescent="0.25">
      <c r="A6" s="45">
        <v>3</v>
      </c>
      <c r="B6" s="36"/>
      <c r="C6" s="8"/>
      <c r="D6" s="8"/>
      <c r="E6" s="8"/>
      <c r="F6" s="8"/>
      <c r="G6" s="8"/>
      <c r="H6" s="8"/>
      <c r="I6" s="33"/>
      <c r="J6" s="18"/>
    </row>
    <row r="7" spans="1:10" x14ac:dyDescent="0.25">
      <c r="A7" s="45">
        <v>4</v>
      </c>
      <c r="B7" s="36"/>
      <c r="C7" s="8"/>
      <c r="D7" s="8"/>
      <c r="E7" s="8"/>
      <c r="F7" s="8"/>
      <c r="G7" s="8"/>
      <c r="H7" s="8"/>
      <c r="I7" s="33"/>
      <c r="J7" s="18"/>
    </row>
    <row r="8" spans="1:10" ht="16.5" thickBot="1" x14ac:dyDescent="0.3">
      <c r="A8" s="52"/>
      <c r="B8" s="53" t="s">
        <v>34</v>
      </c>
      <c r="C8" s="21"/>
      <c r="D8" s="21"/>
      <c r="E8" s="21"/>
      <c r="F8" s="21"/>
      <c r="G8" s="21"/>
      <c r="H8" s="21"/>
      <c r="I8" s="49">
        <f>SUM(I4:I7)</f>
        <v>20100</v>
      </c>
      <c r="J8" s="50">
        <f>SUM(J4:J7)</f>
        <v>3417.0000000000005</v>
      </c>
    </row>
    <row r="10" spans="1:10" ht="16.5" thickBot="1" x14ac:dyDescent="0.3"/>
    <row r="11" spans="1:10" x14ac:dyDescent="0.25">
      <c r="A11" s="15" t="s">
        <v>37</v>
      </c>
      <c r="B11" s="39"/>
      <c r="C11" s="39"/>
      <c r="D11" s="39"/>
      <c r="E11" s="39"/>
      <c r="F11" s="39"/>
      <c r="G11" s="39"/>
      <c r="H11" s="39"/>
      <c r="I11" s="39"/>
      <c r="J11" s="16"/>
    </row>
    <row r="12" spans="1:10" x14ac:dyDescent="0.25">
      <c r="A12" s="45"/>
      <c r="B12" s="36" t="s">
        <v>21</v>
      </c>
      <c r="C12" s="36" t="s">
        <v>22</v>
      </c>
      <c r="D12" s="36" t="s">
        <v>23</v>
      </c>
      <c r="E12" s="36" t="s">
        <v>24</v>
      </c>
      <c r="F12" s="36" t="s">
        <v>26</v>
      </c>
      <c r="G12" s="36" t="s">
        <v>32</v>
      </c>
      <c r="H12" s="36" t="s">
        <v>29</v>
      </c>
      <c r="I12" s="36" t="s">
        <v>33</v>
      </c>
      <c r="J12" s="51" t="s">
        <v>36</v>
      </c>
    </row>
    <row r="13" spans="1:10" x14ac:dyDescent="0.25">
      <c r="A13" s="45">
        <v>1</v>
      </c>
      <c r="B13" s="36" t="s">
        <v>79</v>
      </c>
      <c r="C13" s="8" t="s">
        <v>41</v>
      </c>
      <c r="D13" s="8">
        <v>21</v>
      </c>
      <c r="E13" s="8">
        <v>0</v>
      </c>
      <c r="F13" s="8">
        <f t="shared" ref="F13:G14" si="0">F4</f>
        <v>9</v>
      </c>
      <c r="G13" s="8">
        <f t="shared" si="0"/>
        <v>250</v>
      </c>
      <c r="H13" s="8">
        <f>F13*G13</f>
        <v>2250</v>
      </c>
      <c r="I13" s="8">
        <f>D13*E13*H13/1000</f>
        <v>0</v>
      </c>
      <c r="J13" s="18">
        <f>I13*Contractingberechnung!C21</f>
        <v>0</v>
      </c>
    </row>
    <row r="14" spans="1:10" x14ac:dyDescent="0.25">
      <c r="A14" s="45">
        <v>2</v>
      </c>
      <c r="B14" s="36" t="s">
        <v>27</v>
      </c>
      <c r="C14" s="8" t="s">
        <v>42</v>
      </c>
      <c r="D14" s="8">
        <v>24</v>
      </c>
      <c r="E14" s="8">
        <v>80</v>
      </c>
      <c r="F14" s="8">
        <f t="shared" si="0"/>
        <v>12</v>
      </c>
      <c r="G14" s="8">
        <f t="shared" si="0"/>
        <v>250</v>
      </c>
      <c r="H14" s="8">
        <f>F14*G14</f>
        <v>3000</v>
      </c>
      <c r="I14" s="8">
        <f>D14*E14*H14/1000</f>
        <v>5760</v>
      </c>
      <c r="J14" s="18">
        <f>I14*Contractingberechnung!C21</f>
        <v>979.2</v>
      </c>
    </row>
    <row r="15" spans="1:10" x14ac:dyDescent="0.25">
      <c r="A15" s="45">
        <v>3</v>
      </c>
      <c r="B15" s="36"/>
      <c r="C15" s="8"/>
      <c r="D15" s="8"/>
      <c r="E15" s="8"/>
      <c r="F15" s="8"/>
      <c r="G15" s="8"/>
      <c r="H15" s="8"/>
      <c r="I15" s="8"/>
      <c r="J15" s="18"/>
    </row>
    <row r="16" spans="1:10" x14ac:dyDescent="0.25">
      <c r="A16" s="45">
        <v>4</v>
      </c>
      <c r="B16" s="36"/>
      <c r="C16" s="8"/>
      <c r="D16" s="8"/>
      <c r="E16" s="8"/>
      <c r="F16" s="8"/>
      <c r="G16" s="8"/>
      <c r="H16" s="8"/>
      <c r="I16" s="8"/>
      <c r="J16" s="18"/>
    </row>
    <row r="17" spans="1:10" ht="16.5" thickBot="1" x14ac:dyDescent="0.3">
      <c r="A17" s="52"/>
      <c r="B17" s="53" t="s">
        <v>34</v>
      </c>
      <c r="C17" s="21"/>
      <c r="D17" s="21"/>
      <c r="E17" s="21"/>
      <c r="F17" s="21"/>
      <c r="G17" s="21"/>
      <c r="H17" s="21"/>
      <c r="I17" s="21">
        <f>SUM(I13:I16)</f>
        <v>5760</v>
      </c>
      <c r="J17" s="54">
        <f>SUM(J13:J16)</f>
        <v>979.2</v>
      </c>
    </row>
    <row r="18" spans="1:10" ht="16.5" thickBot="1" x14ac:dyDescent="0.3"/>
    <row r="19" spans="1:10" ht="31.5" x14ac:dyDescent="0.25">
      <c r="A19" s="55" t="s">
        <v>40</v>
      </c>
      <c r="B19" s="56" t="s">
        <v>21</v>
      </c>
      <c r="C19" s="56" t="s">
        <v>78</v>
      </c>
      <c r="D19" s="56" t="s">
        <v>43</v>
      </c>
      <c r="E19" s="56" t="s">
        <v>93</v>
      </c>
      <c r="F19" s="62" t="s">
        <v>44</v>
      </c>
      <c r="G19" s="56" t="s">
        <v>45</v>
      </c>
      <c r="H19" s="27" t="s">
        <v>46</v>
      </c>
    </row>
    <row r="20" spans="1:10" x14ac:dyDescent="0.25">
      <c r="A20" s="45">
        <v>1</v>
      </c>
      <c r="B20" s="36" t="s">
        <v>79</v>
      </c>
      <c r="C20" s="8" t="s">
        <v>41</v>
      </c>
      <c r="D20" s="8">
        <v>25</v>
      </c>
      <c r="E20" s="8">
        <v>20</v>
      </c>
      <c r="F20" s="8">
        <v>15</v>
      </c>
      <c r="G20" s="8">
        <f>D20+E20+F20</f>
        <v>60</v>
      </c>
      <c r="H20" s="18">
        <f>G20*E13</f>
        <v>0</v>
      </c>
    </row>
    <row r="21" spans="1:10" x14ac:dyDescent="0.25">
      <c r="A21" s="45">
        <v>2</v>
      </c>
      <c r="B21" s="36" t="s">
        <v>27</v>
      </c>
      <c r="C21" s="8" t="s">
        <v>42</v>
      </c>
      <c r="D21" s="8">
        <v>35</v>
      </c>
      <c r="E21" s="8">
        <v>20</v>
      </c>
      <c r="F21" s="8">
        <v>15</v>
      </c>
      <c r="G21" s="8">
        <f>D21+E21+F21</f>
        <v>70</v>
      </c>
      <c r="H21" s="18">
        <f>G21*E14</f>
        <v>5600</v>
      </c>
    </row>
    <row r="22" spans="1:10" x14ac:dyDescent="0.25">
      <c r="A22" s="45">
        <v>3</v>
      </c>
      <c r="B22" s="36"/>
      <c r="C22" s="8"/>
      <c r="D22" s="8"/>
      <c r="E22" s="8"/>
      <c r="F22" s="8"/>
      <c r="G22" s="8"/>
      <c r="H22" s="18"/>
    </row>
    <row r="23" spans="1:10" x14ac:dyDescent="0.25">
      <c r="A23" s="45">
        <v>4</v>
      </c>
      <c r="B23" s="36"/>
      <c r="C23" s="8"/>
      <c r="D23" s="8"/>
      <c r="E23" s="8"/>
      <c r="F23" s="8"/>
      <c r="G23" s="8"/>
      <c r="H23" s="18"/>
    </row>
    <row r="24" spans="1:10" ht="16.5" thickBot="1" x14ac:dyDescent="0.3">
      <c r="A24" s="52"/>
      <c r="B24" s="53" t="s">
        <v>34</v>
      </c>
      <c r="C24" s="21" t="s">
        <v>47</v>
      </c>
      <c r="D24" s="21"/>
      <c r="E24" s="21"/>
      <c r="F24" s="21"/>
      <c r="G24" s="21"/>
      <c r="H24" s="23">
        <f>SUM(H20:H23)</f>
        <v>5600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E32" sqref="E32"/>
    </sheetView>
  </sheetViews>
  <sheetFormatPr baseColWidth="10" defaultRowHeight="15.75" x14ac:dyDescent="0.25"/>
  <cols>
    <col min="1" max="1" width="30" customWidth="1"/>
    <col min="2" max="2" width="22.75" customWidth="1"/>
    <col min="3" max="3" width="20.25" customWidth="1"/>
    <col min="5" max="5" width="55.875" customWidth="1"/>
  </cols>
  <sheetData>
    <row r="1" spans="1:4" x14ac:dyDescent="0.25">
      <c r="A1" s="4" t="s">
        <v>81</v>
      </c>
    </row>
    <row r="2" spans="1:4" ht="16.5" thickBot="1" x14ac:dyDescent="0.3"/>
    <row r="3" spans="1:4" x14ac:dyDescent="0.25">
      <c r="A3" s="24" t="s">
        <v>17</v>
      </c>
      <c r="B3" s="25" t="s">
        <v>57</v>
      </c>
      <c r="C3" s="26">
        <f>C5+(C5*C4)</f>
        <v>6160</v>
      </c>
      <c r="D3" s="27" t="s">
        <v>59</v>
      </c>
    </row>
    <row r="4" spans="1:4" ht="47.25" x14ac:dyDescent="0.25">
      <c r="A4" s="17"/>
      <c r="B4" s="9" t="s">
        <v>19</v>
      </c>
      <c r="C4" s="38">
        <v>0.1</v>
      </c>
      <c r="D4" s="18"/>
    </row>
    <row r="5" spans="1:4" x14ac:dyDescent="0.25">
      <c r="A5" s="17"/>
      <c r="B5" s="8" t="s">
        <v>87</v>
      </c>
      <c r="C5" s="11">
        <f>Beleuchtungskonzept!H24</f>
        <v>5600</v>
      </c>
      <c r="D5" s="18" t="s">
        <v>59</v>
      </c>
    </row>
    <row r="6" spans="1:4" x14ac:dyDescent="0.25">
      <c r="A6" s="19" t="s">
        <v>52</v>
      </c>
      <c r="B6" s="8"/>
      <c r="C6" s="11"/>
      <c r="D6" s="18"/>
    </row>
    <row r="7" spans="1:4" x14ac:dyDescent="0.25">
      <c r="A7" s="17"/>
      <c r="B7" s="8" t="s">
        <v>8</v>
      </c>
      <c r="C7" s="12">
        <v>5</v>
      </c>
      <c r="D7" s="18" t="s">
        <v>1</v>
      </c>
    </row>
    <row r="8" spans="1:4" x14ac:dyDescent="0.25">
      <c r="A8" s="17"/>
      <c r="B8" s="8" t="s">
        <v>10</v>
      </c>
      <c r="C8" s="13">
        <v>3.5000000000000003E-2</v>
      </c>
      <c r="D8" s="18"/>
    </row>
    <row r="9" spans="1:4" x14ac:dyDescent="0.25">
      <c r="A9" s="17"/>
      <c r="B9" s="8" t="s">
        <v>53</v>
      </c>
      <c r="C9" s="14">
        <f>PMT(C8,C7,-1)</f>
        <v>0.22148137315809943</v>
      </c>
      <c r="D9" s="18"/>
    </row>
    <row r="10" spans="1:4" ht="16.5" thickBot="1" x14ac:dyDescent="0.3">
      <c r="A10" s="20"/>
      <c r="B10" s="21" t="s">
        <v>52</v>
      </c>
      <c r="C10" s="22">
        <f>C3*C9</f>
        <v>1364.3252586538924</v>
      </c>
      <c r="D10" s="23" t="s">
        <v>51</v>
      </c>
    </row>
    <row r="11" spans="1:4" ht="16.5" thickBot="1" x14ac:dyDescent="0.3">
      <c r="C11" s="1"/>
    </row>
    <row r="12" spans="1:4" x14ac:dyDescent="0.25">
      <c r="A12" s="24" t="s">
        <v>54</v>
      </c>
      <c r="B12" s="25" t="s">
        <v>57</v>
      </c>
      <c r="C12" s="26">
        <f>SUM(C13:C14)</f>
        <v>512</v>
      </c>
      <c r="D12" s="27" t="s">
        <v>51</v>
      </c>
    </row>
    <row r="13" spans="1:4" x14ac:dyDescent="0.25">
      <c r="A13" s="17"/>
      <c r="B13" s="8" t="s">
        <v>55</v>
      </c>
      <c r="C13" s="11">
        <f>C5*2%</f>
        <v>112</v>
      </c>
      <c r="D13" s="18" t="s">
        <v>51</v>
      </c>
    </row>
    <row r="14" spans="1:4" ht="16.5" thickBot="1" x14ac:dyDescent="0.3">
      <c r="A14" s="20"/>
      <c r="B14" s="21" t="s">
        <v>56</v>
      </c>
      <c r="C14" s="22">
        <v>400</v>
      </c>
      <c r="D14" s="23" t="s">
        <v>51</v>
      </c>
    </row>
    <row r="15" spans="1:4" ht="16.5" thickBot="1" x14ac:dyDescent="0.3">
      <c r="C15" s="1"/>
    </row>
    <row r="16" spans="1:4" ht="16.5" thickBot="1" x14ac:dyDescent="0.3">
      <c r="A16" s="28" t="s">
        <v>58</v>
      </c>
      <c r="B16" s="29"/>
      <c r="C16" s="30">
        <f>C12+C10</f>
        <v>1876.3252586538924</v>
      </c>
      <c r="D16" s="31" t="s">
        <v>51</v>
      </c>
    </row>
    <row r="17" spans="1:5" x14ac:dyDescent="0.25">
      <c r="C17" s="1"/>
    </row>
    <row r="18" spans="1:5" x14ac:dyDescent="0.25">
      <c r="A18" s="35" t="s">
        <v>80</v>
      </c>
      <c r="B18" s="36" t="s">
        <v>88</v>
      </c>
      <c r="C18" s="37" t="s">
        <v>89</v>
      </c>
      <c r="D18" s="36" t="s">
        <v>90</v>
      </c>
    </row>
    <row r="19" spans="1:5" x14ac:dyDescent="0.25">
      <c r="A19" s="36" t="s">
        <v>18</v>
      </c>
      <c r="B19" s="8" t="s">
        <v>73</v>
      </c>
      <c r="C19" s="11">
        <f>Beleuchtungskonzept!I8</f>
        <v>20100</v>
      </c>
      <c r="D19" s="8" t="s">
        <v>49</v>
      </c>
    </row>
    <row r="20" spans="1:5" x14ac:dyDescent="0.25">
      <c r="A20" s="36" t="s">
        <v>48</v>
      </c>
      <c r="B20" s="8"/>
      <c r="C20" s="11">
        <f>Beleuchtungskonzept!I17</f>
        <v>5760</v>
      </c>
      <c r="D20" s="8" t="s">
        <v>50</v>
      </c>
    </row>
    <row r="21" spans="1:5" x14ac:dyDescent="0.25">
      <c r="A21" s="36" t="s">
        <v>35</v>
      </c>
      <c r="B21" s="8"/>
      <c r="C21" s="32">
        <v>0.17</v>
      </c>
      <c r="D21" s="8" t="s">
        <v>64</v>
      </c>
    </row>
    <row r="22" spans="1:5" x14ac:dyDescent="0.25">
      <c r="A22" s="36" t="s">
        <v>11</v>
      </c>
      <c r="B22" s="8" t="s">
        <v>74</v>
      </c>
      <c r="C22" s="33">
        <f>C19*C21</f>
        <v>3417.0000000000005</v>
      </c>
      <c r="D22" s="8" t="s">
        <v>51</v>
      </c>
    </row>
    <row r="23" spans="1:5" x14ac:dyDescent="0.25">
      <c r="A23" s="36" t="s">
        <v>63</v>
      </c>
      <c r="B23" s="8"/>
      <c r="C23" s="33">
        <f>C20*C21</f>
        <v>979.2</v>
      </c>
      <c r="D23" s="8" t="s">
        <v>51</v>
      </c>
    </row>
    <row r="24" spans="1:5" x14ac:dyDescent="0.25">
      <c r="A24" s="36" t="s">
        <v>38</v>
      </c>
      <c r="B24" s="8"/>
      <c r="C24" s="34">
        <f>Beleuchtungskonzept!I8-Beleuchtungskonzept!I17</f>
        <v>14340</v>
      </c>
      <c r="D24" s="8" t="s">
        <v>50</v>
      </c>
    </row>
    <row r="25" spans="1:5" ht="31.5" x14ac:dyDescent="0.25">
      <c r="A25" s="36" t="s">
        <v>39</v>
      </c>
      <c r="B25" s="9" t="s">
        <v>75</v>
      </c>
      <c r="C25" s="34">
        <f>Beleuchtungskonzept!J8-Beleuchtungskonzept!J17</f>
        <v>2437.8000000000002</v>
      </c>
      <c r="D25" s="8" t="s">
        <v>51</v>
      </c>
    </row>
    <row r="26" spans="1:5" ht="16.5" thickBot="1" x14ac:dyDescent="0.3"/>
    <row r="27" spans="1:5" x14ac:dyDescent="0.25">
      <c r="A27" s="24" t="s">
        <v>91</v>
      </c>
      <c r="B27" s="56"/>
      <c r="C27" s="56"/>
      <c r="D27" s="27"/>
    </row>
    <row r="28" spans="1:5" ht="59.25" customHeight="1" x14ac:dyDescent="0.25">
      <c r="A28" s="46" t="s">
        <v>61</v>
      </c>
      <c r="B28" s="9" t="s">
        <v>62</v>
      </c>
      <c r="C28" s="61" t="s">
        <v>92</v>
      </c>
      <c r="D28" s="40">
        <v>0.1</v>
      </c>
    </row>
    <row r="29" spans="1:5" ht="33.75" customHeight="1" x14ac:dyDescent="0.25">
      <c r="A29" s="46" t="s">
        <v>65</v>
      </c>
      <c r="B29" s="9" t="s">
        <v>66</v>
      </c>
      <c r="C29" s="10"/>
      <c r="D29" s="41">
        <f>C22-(C22*D28)</f>
        <v>3075.3</v>
      </c>
    </row>
    <row r="30" spans="1:5" ht="36" customHeight="1" x14ac:dyDescent="0.25">
      <c r="A30" s="46"/>
      <c r="B30" s="9" t="s">
        <v>67</v>
      </c>
      <c r="C30" s="10"/>
      <c r="D30" s="41">
        <f>D29-C23</f>
        <v>2096.1000000000004</v>
      </c>
    </row>
    <row r="31" spans="1:5" ht="61.5" customHeight="1" x14ac:dyDescent="0.25">
      <c r="A31" s="46" t="s">
        <v>15</v>
      </c>
      <c r="B31" s="9" t="s">
        <v>82</v>
      </c>
      <c r="C31" s="10"/>
      <c r="D31" s="41">
        <f>C22-D29</f>
        <v>341.70000000000027</v>
      </c>
      <c r="E31" s="6" t="s">
        <v>94</v>
      </c>
    </row>
    <row r="32" spans="1:5" ht="30.75" customHeight="1" thickBot="1" x14ac:dyDescent="0.3">
      <c r="A32" s="47" t="s">
        <v>68</v>
      </c>
      <c r="B32" s="42" t="s">
        <v>69</v>
      </c>
      <c r="C32" s="43"/>
      <c r="D32" s="44">
        <f>C22-C23</f>
        <v>2437.8000000000002</v>
      </c>
    </row>
    <row r="33" spans="1:5" ht="30.75" customHeight="1" thickBot="1" x14ac:dyDescent="0.3">
      <c r="A33" s="6"/>
      <c r="B33" s="6"/>
      <c r="C33" s="2"/>
      <c r="D33" s="5"/>
    </row>
    <row r="34" spans="1:5" ht="18" customHeight="1" x14ac:dyDescent="0.25">
      <c r="A34" s="60" t="s">
        <v>86</v>
      </c>
      <c r="B34" s="56"/>
      <c r="C34" s="56"/>
      <c r="D34" s="56" t="s">
        <v>89</v>
      </c>
      <c r="E34" s="27"/>
    </row>
    <row r="35" spans="1:5" ht="31.5" x14ac:dyDescent="0.25">
      <c r="A35" s="45" t="s">
        <v>84</v>
      </c>
      <c r="B35" s="9" t="s">
        <v>85</v>
      </c>
      <c r="C35" s="11"/>
      <c r="D35" s="11">
        <f>'Renditebetrachtung EPC'!F14</f>
        <v>1760.5000000000018</v>
      </c>
      <c r="E35" s="18" t="s">
        <v>0</v>
      </c>
    </row>
    <row r="36" spans="1:5" x14ac:dyDescent="0.25">
      <c r="A36" s="45" t="s">
        <v>7</v>
      </c>
      <c r="B36" s="8"/>
      <c r="C36" s="57"/>
      <c r="D36" s="57">
        <f>'Renditebetrachtung EPC'!F16</f>
        <v>0.14422704117228569</v>
      </c>
      <c r="E36" s="18"/>
    </row>
    <row r="37" spans="1:5" x14ac:dyDescent="0.25">
      <c r="A37" s="45" t="s">
        <v>70</v>
      </c>
      <c r="B37" s="8"/>
      <c r="C37" s="57"/>
      <c r="D37" s="58">
        <f>'Renditebetrachtung EPC'!F32</f>
        <v>1200.6036467271765</v>
      </c>
      <c r="E37" s="18" t="s">
        <v>0</v>
      </c>
    </row>
    <row r="38" spans="1:5" ht="32.25" thickBot="1" x14ac:dyDescent="0.3">
      <c r="A38" s="52" t="s">
        <v>16</v>
      </c>
      <c r="B38" s="42" t="s">
        <v>83</v>
      </c>
      <c r="C38" s="21"/>
      <c r="D38" s="59">
        <f>'Renditebetrachtung EPC'!F34</f>
        <v>0.16797862697390406</v>
      </c>
      <c r="E38" s="23"/>
    </row>
    <row r="39" spans="1:5" x14ac:dyDescent="0.25">
      <c r="B39" s="6"/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6" workbookViewId="0">
      <selection activeCell="B20" sqref="B20"/>
    </sheetView>
  </sheetViews>
  <sheetFormatPr baseColWidth="10" defaultRowHeight="15.75" x14ac:dyDescent="0.25"/>
  <cols>
    <col min="1" max="1" width="7.375" customWidth="1"/>
    <col min="3" max="3" width="17.125" customWidth="1"/>
    <col min="4" max="4" width="21" customWidth="1"/>
    <col min="5" max="5" width="20.125" customWidth="1"/>
  </cols>
  <sheetData>
    <row r="1" spans="1:7" x14ac:dyDescent="0.25">
      <c r="A1" t="s">
        <v>71</v>
      </c>
    </row>
    <row r="2" spans="1: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12</v>
      </c>
    </row>
    <row r="3" spans="1:7" x14ac:dyDescent="0.25">
      <c r="A3">
        <v>1</v>
      </c>
      <c r="B3" s="1">
        <f>Contractingberechnung!D29</f>
        <v>3075.3</v>
      </c>
      <c r="C3" s="1">
        <f>Contractingberechnung!C23</f>
        <v>979.2</v>
      </c>
      <c r="D3" s="1">
        <f>Contractingberechnung!C3</f>
        <v>6160</v>
      </c>
      <c r="E3" s="1">
        <f>Contractingberechnung!C12</f>
        <v>512</v>
      </c>
      <c r="F3" s="1">
        <f>B3-C3-D3-E3</f>
        <v>-4575.8999999999996</v>
      </c>
      <c r="G3" s="1">
        <f>F3</f>
        <v>-4575.8999999999996</v>
      </c>
    </row>
    <row r="4" spans="1:7" x14ac:dyDescent="0.25">
      <c r="A4">
        <v>2</v>
      </c>
      <c r="B4" s="1">
        <f>B3</f>
        <v>3075.3</v>
      </c>
      <c r="C4" s="1">
        <f>C3</f>
        <v>979.2</v>
      </c>
      <c r="E4" s="1">
        <f>E3</f>
        <v>512</v>
      </c>
      <c r="F4" s="1">
        <f t="shared" ref="F4:F12" si="0">B4-C4-D4-E4</f>
        <v>1584.1000000000004</v>
      </c>
      <c r="G4" s="1">
        <f>G3+F4</f>
        <v>-2991.7999999999993</v>
      </c>
    </row>
    <row r="5" spans="1:7" x14ac:dyDescent="0.25">
      <c r="A5">
        <v>3</v>
      </c>
      <c r="B5" s="1">
        <f t="shared" ref="B5:C12" si="1">B4</f>
        <v>3075.3</v>
      </c>
      <c r="C5" s="1">
        <f t="shared" si="1"/>
        <v>979.2</v>
      </c>
      <c r="E5" s="1">
        <f t="shared" ref="E5:E7" si="2">E4</f>
        <v>512</v>
      </c>
      <c r="F5" s="1">
        <f t="shared" si="0"/>
        <v>1584.1000000000004</v>
      </c>
      <c r="G5" s="1">
        <f t="shared" ref="G5:G12" si="3">G4+F5</f>
        <v>-1407.6999999999989</v>
      </c>
    </row>
    <row r="6" spans="1:7" x14ac:dyDescent="0.25">
      <c r="A6">
        <v>4</v>
      </c>
      <c r="B6" s="1">
        <f t="shared" si="1"/>
        <v>3075.3</v>
      </c>
      <c r="C6" s="1">
        <f t="shared" si="1"/>
        <v>979.2</v>
      </c>
      <c r="E6" s="1">
        <f t="shared" si="2"/>
        <v>512</v>
      </c>
      <c r="F6" s="1">
        <f t="shared" si="0"/>
        <v>1584.1000000000004</v>
      </c>
      <c r="G6" s="1">
        <f t="shared" si="3"/>
        <v>176.40000000000146</v>
      </c>
    </row>
    <row r="7" spans="1:7" x14ac:dyDescent="0.25">
      <c r="A7">
        <v>5</v>
      </c>
      <c r="B7" s="1">
        <f t="shared" si="1"/>
        <v>3075.3</v>
      </c>
      <c r="C7" s="1">
        <f t="shared" si="1"/>
        <v>979.2</v>
      </c>
      <c r="E7" s="1">
        <f t="shared" si="2"/>
        <v>512</v>
      </c>
      <c r="F7" s="1">
        <f t="shared" si="0"/>
        <v>1584.1000000000004</v>
      </c>
      <c r="G7" s="1">
        <f t="shared" si="3"/>
        <v>1760.5000000000018</v>
      </c>
    </row>
    <row r="8" spans="1:7" x14ac:dyDescent="0.25">
      <c r="A8">
        <v>6</v>
      </c>
      <c r="B8" s="1">
        <v>0</v>
      </c>
      <c r="C8" s="1">
        <v>0</v>
      </c>
      <c r="E8" s="1">
        <v>0</v>
      </c>
      <c r="F8" s="1">
        <f t="shared" si="0"/>
        <v>0</v>
      </c>
      <c r="G8" s="1">
        <v>0</v>
      </c>
    </row>
    <row r="9" spans="1:7" x14ac:dyDescent="0.25">
      <c r="A9">
        <v>7</v>
      </c>
      <c r="B9" s="1">
        <v>0</v>
      </c>
      <c r="C9" s="1"/>
      <c r="E9" s="1">
        <v>0</v>
      </c>
      <c r="F9" s="1">
        <f t="shared" si="0"/>
        <v>0</v>
      </c>
      <c r="G9" s="1">
        <v>0</v>
      </c>
    </row>
    <row r="10" spans="1:7" x14ac:dyDescent="0.25">
      <c r="A10">
        <v>8</v>
      </c>
      <c r="B10" s="1">
        <f t="shared" si="1"/>
        <v>0</v>
      </c>
      <c r="C10" s="1"/>
      <c r="E10" s="1">
        <f>E9</f>
        <v>0</v>
      </c>
      <c r="F10" s="1">
        <f t="shared" si="0"/>
        <v>0</v>
      </c>
      <c r="G10" s="1">
        <v>0</v>
      </c>
    </row>
    <row r="11" spans="1:7" x14ac:dyDescent="0.25">
      <c r="A11">
        <v>9</v>
      </c>
      <c r="B11" s="1">
        <f t="shared" si="1"/>
        <v>0</v>
      </c>
      <c r="C11" s="1"/>
      <c r="E11" s="1">
        <f t="shared" ref="E11:E12" si="4">E10</f>
        <v>0</v>
      </c>
      <c r="F11" s="1">
        <f t="shared" si="0"/>
        <v>0</v>
      </c>
      <c r="G11" s="1">
        <f t="shared" si="3"/>
        <v>0</v>
      </c>
    </row>
    <row r="12" spans="1:7" x14ac:dyDescent="0.25">
      <c r="A12">
        <v>10</v>
      </c>
      <c r="B12" s="1">
        <f t="shared" si="1"/>
        <v>0</v>
      </c>
      <c r="C12" s="1"/>
      <c r="E12" s="1">
        <f t="shared" si="4"/>
        <v>0</v>
      </c>
      <c r="F12" s="1">
        <f t="shared" si="0"/>
        <v>0</v>
      </c>
      <c r="G12" s="1">
        <f t="shared" si="3"/>
        <v>0</v>
      </c>
    </row>
    <row r="14" spans="1:7" x14ac:dyDescent="0.25">
      <c r="B14" s="1">
        <f>SUM(B3:B13)</f>
        <v>15376.5</v>
      </c>
      <c r="C14" s="1">
        <f t="shared" ref="C14:F14" si="5">SUM(C3:C13)</f>
        <v>4896</v>
      </c>
      <c r="D14" s="1">
        <f t="shared" si="5"/>
        <v>6160</v>
      </c>
      <c r="E14" s="1">
        <f t="shared" si="5"/>
        <v>2560</v>
      </c>
      <c r="F14" s="1">
        <f t="shared" si="5"/>
        <v>1760.5000000000018</v>
      </c>
    </row>
    <row r="15" spans="1:7" x14ac:dyDescent="0.25">
      <c r="F15" s="7">
        <f>NPV(Contractingberechnung!C8,'Renditebetrachtung EPC'!F3:F8)</f>
        <v>1200.6036467271765</v>
      </c>
      <c r="G15" t="s">
        <v>70</v>
      </c>
    </row>
    <row r="16" spans="1:7" x14ac:dyDescent="0.25">
      <c r="F16" s="3">
        <f>IRR(F3:F12,0)</f>
        <v>0.14422704117228569</v>
      </c>
      <c r="G16" t="s">
        <v>7</v>
      </c>
    </row>
    <row r="18" spans="1:7" x14ac:dyDescent="0.25">
      <c r="A18" t="s">
        <v>72</v>
      </c>
    </row>
    <row r="19" spans="1:7" x14ac:dyDescent="0.25">
      <c r="A19" t="s">
        <v>1</v>
      </c>
      <c r="B19" t="s">
        <v>2</v>
      </c>
      <c r="C19" t="s">
        <v>3</v>
      </c>
      <c r="D19" t="s">
        <v>4</v>
      </c>
      <c r="E19" t="s">
        <v>5</v>
      </c>
      <c r="F19" t="s">
        <v>6</v>
      </c>
      <c r="G19" t="s">
        <v>12</v>
      </c>
    </row>
    <row r="20" spans="1:7" x14ac:dyDescent="0.25">
      <c r="A20">
        <v>1</v>
      </c>
      <c r="B20" s="1">
        <f>Contractingberechnung!D30</f>
        <v>2096.1000000000004</v>
      </c>
      <c r="C20" s="1">
        <f>Contractingberechnung!C40</f>
        <v>0</v>
      </c>
      <c r="D20" s="1">
        <f>Contractingberechnung!C3</f>
        <v>6160</v>
      </c>
      <c r="E20" s="1">
        <f>Contractingberechnung!C12</f>
        <v>512</v>
      </c>
      <c r="F20" s="1">
        <f>B20-C20-D20-E20</f>
        <v>-4575.8999999999996</v>
      </c>
      <c r="G20" s="1">
        <f>F20</f>
        <v>-4575.8999999999996</v>
      </c>
    </row>
    <row r="21" spans="1:7" x14ac:dyDescent="0.25">
      <c r="A21">
        <v>2</v>
      </c>
      <c r="B21" s="1">
        <f>B20</f>
        <v>2096.1000000000004</v>
      </c>
      <c r="C21" s="1">
        <f>C20</f>
        <v>0</v>
      </c>
      <c r="E21" s="1">
        <f>E20</f>
        <v>512</v>
      </c>
      <c r="F21" s="1">
        <f t="shared" ref="F21:F29" si="6">B21-C21-D21-E21</f>
        <v>1584.1000000000004</v>
      </c>
      <c r="G21" s="1">
        <f>G20+F21</f>
        <v>-2991.7999999999993</v>
      </c>
    </row>
    <row r="22" spans="1:7" x14ac:dyDescent="0.25">
      <c r="A22">
        <v>3</v>
      </c>
      <c r="B22" s="1">
        <f t="shared" ref="B22:C22" si="7">B21</f>
        <v>2096.1000000000004</v>
      </c>
      <c r="C22" s="1">
        <f t="shared" si="7"/>
        <v>0</v>
      </c>
      <c r="E22" s="1">
        <f t="shared" ref="E22:E24" si="8">E21</f>
        <v>512</v>
      </c>
      <c r="F22" s="1">
        <f t="shared" si="6"/>
        <v>1584.1000000000004</v>
      </c>
      <c r="G22" s="1">
        <f t="shared" ref="G22:G24" si="9">G21+F22</f>
        <v>-1407.6999999999989</v>
      </c>
    </row>
    <row r="23" spans="1:7" x14ac:dyDescent="0.25">
      <c r="A23">
        <v>4</v>
      </c>
      <c r="B23" s="1">
        <f t="shared" ref="B23:C23" si="10">B22</f>
        <v>2096.1000000000004</v>
      </c>
      <c r="C23" s="1">
        <f t="shared" si="10"/>
        <v>0</v>
      </c>
      <c r="E23" s="1">
        <f t="shared" si="8"/>
        <v>512</v>
      </c>
      <c r="F23" s="1">
        <f t="shared" si="6"/>
        <v>1584.1000000000004</v>
      </c>
      <c r="G23" s="1">
        <f t="shared" si="9"/>
        <v>176.40000000000146</v>
      </c>
    </row>
    <row r="24" spans="1:7" x14ac:dyDescent="0.25">
      <c r="A24">
        <v>5</v>
      </c>
      <c r="B24" s="1">
        <f t="shared" ref="B24:C24" si="11">B23</f>
        <v>2096.1000000000004</v>
      </c>
      <c r="C24" s="1">
        <f t="shared" si="11"/>
        <v>0</v>
      </c>
      <c r="E24" s="1">
        <f t="shared" si="8"/>
        <v>512</v>
      </c>
      <c r="F24" s="1">
        <f t="shared" si="6"/>
        <v>1584.1000000000004</v>
      </c>
      <c r="G24" s="1">
        <f t="shared" si="9"/>
        <v>1760.5000000000018</v>
      </c>
    </row>
    <row r="25" spans="1:7" x14ac:dyDescent="0.25">
      <c r="A25">
        <v>6</v>
      </c>
      <c r="B25" s="1">
        <v>0</v>
      </c>
      <c r="C25" s="1">
        <f t="shared" ref="C25" si="12">C24</f>
        <v>0</v>
      </c>
      <c r="E25" s="1">
        <v>0</v>
      </c>
      <c r="F25" s="1">
        <f t="shared" si="6"/>
        <v>0</v>
      </c>
      <c r="G25" s="1">
        <v>0</v>
      </c>
    </row>
    <row r="26" spans="1:7" x14ac:dyDescent="0.25">
      <c r="A26">
        <v>7</v>
      </c>
      <c r="B26" s="1">
        <v>0</v>
      </c>
      <c r="C26" s="1"/>
      <c r="E26" s="1">
        <v>0</v>
      </c>
      <c r="F26" s="1">
        <f t="shared" si="6"/>
        <v>0</v>
      </c>
      <c r="G26" s="1">
        <v>0</v>
      </c>
    </row>
    <row r="27" spans="1:7" x14ac:dyDescent="0.25">
      <c r="A27">
        <v>8</v>
      </c>
      <c r="B27" s="1">
        <f t="shared" ref="B27" si="13">B26</f>
        <v>0</v>
      </c>
      <c r="C27" s="1"/>
      <c r="E27" s="1">
        <f>E26</f>
        <v>0</v>
      </c>
      <c r="F27" s="1">
        <f t="shared" si="6"/>
        <v>0</v>
      </c>
      <c r="G27" s="1">
        <v>0</v>
      </c>
    </row>
    <row r="28" spans="1:7" x14ac:dyDescent="0.25">
      <c r="A28">
        <v>9</v>
      </c>
      <c r="B28" s="1">
        <f t="shared" ref="B28" si="14">B27</f>
        <v>0</v>
      </c>
      <c r="C28" s="1"/>
      <c r="E28" s="1">
        <f t="shared" ref="E28:E29" si="15">E27</f>
        <v>0</v>
      </c>
      <c r="F28" s="1">
        <f t="shared" si="6"/>
        <v>0</v>
      </c>
      <c r="G28" s="1">
        <f t="shared" ref="G28:G29" si="16">G27+F28</f>
        <v>0</v>
      </c>
    </row>
    <row r="29" spans="1:7" x14ac:dyDescent="0.25">
      <c r="A29">
        <v>10</v>
      </c>
      <c r="B29" s="1">
        <f t="shared" ref="B29" si="17">B28</f>
        <v>0</v>
      </c>
      <c r="C29" s="1"/>
      <c r="E29" s="1">
        <f t="shared" si="15"/>
        <v>0</v>
      </c>
      <c r="F29" s="1">
        <f t="shared" si="6"/>
        <v>0</v>
      </c>
      <c r="G29" s="1">
        <f t="shared" si="16"/>
        <v>0</v>
      </c>
    </row>
    <row r="31" spans="1:7" x14ac:dyDescent="0.25">
      <c r="A31" t="s">
        <v>57</v>
      </c>
      <c r="B31" s="1">
        <f>SUM(B20:B30)</f>
        <v>10480.500000000002</v>
      </c>
      <c r="D31" s="1">
        <f>SUM(D20:D30)</f>
        <v>6160</v>
      </c>
      <c r="E31" s="1">
        <f>SUM(E20:E30)</f>
        <v>2560</v>
      </c>
      <c r="F31" s="1">
        <f>SUM(F20:F30)</f>
        <v>1760.5000000000018</v>
      </c>
    </row>
    <row r="32" spans="1:7" x14ac:dyDescent="0.25">
      <c r="F32" s="7">
        <f>NPV(Contractingberechnung!C8,'Renditebetrachtung EPC'!F20:F25)</f>
        <v>1200.6036467271765</v>
      </c>
      <c r="G32" t="s">
        <v>70</v>
      </c>
    </row>
    <row r="33" spans="6:7" x14ac:dyDescent="0.25">
      <c r="F33" s="3">
        <f>IRR(F20:F25,0)</f>
        <v>0.14422704117228569</v>
      </c>
      <c r="G33" t="s">
        <v>60</v>
      </c>
    </row>
    <row r="34" spans="6:7" x14ac:dyDescent="0.25">
      <c r="F34" s="2">
        <f>F31/B31</f>
        <v>0.16797862697390406</v>
      </c>
      <c r="G34" t="s">
        <v>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workbookViewId="0">
      <selection activeCell="E13" sqref="E13"/>
    </sheetView>
  </sheetViews>
  <sheetFormatPr baseColWidth="10" defaultRowHeight="15.75" x14ac:dyDescent="0.25"/>
  <cols>
    <col min="4" max="4" width="13.875" customWidth="1"/>
    <col min="5" max="5" width="15.5" customWidth="1"/>
  </cols>
  <sheetData>
    <row r="2" spans="1:5" x14ac:dyDescent="0.25">
      <c r="A2" t="s">
        <v>9</v>
      </c>
      <c r="B2" t="s">
        <v>13</v>
      </c>
      <c r="C2" t="s">
        <v>14</v>
      </c>
      <c r="D2" t="s">
        <v>76</v>
      </c>
      <c r="E2" t="s">
        <v>77</v>
      </c>
    </row>
    <row r="3" spans="1:5" x14ac:dyDescent="0.25">
      <c r="A3">
        <v>1</v>
      </c>
      <c r="B3" s="1">
        <f>Beleuchtungskonzept!J8</f>
        <v>3417.0000000000005</v>
      </c>
      <c r="C3" s="1">
        <f>Beleuchtungskonzept!J17</f>
        <v>979.2</v>
      </c>
      <c r="D3" s="1">
        <f>B3-C3</f>
        <v>2437.8000000000002</v>
      </c>
      <c r="E3" s="2">
        <f>1-(C3/B3)</f>
        <v>0.71343283582089556</v>
      </c>
    </row>
    <row r="4" spans="1:5" x14ac:dyDescent="0.25">
      <c r="A4">
        <v>2</v>
      </c>
      <c r="B4" s="1">
        <f>B3</f>
        <v>3417.0000000000005</v>
      </c>
      <c r="C4" s="1">
        <f>C3</f>
        <v>979.2</v>
      </c>
      <c r="D4" s="1">
        <f t="shared" ref="D4:D12" si="0">B4-C4</f>
        <v>2437.8000000000002</v>
      </c>
      <c r="E4" s="2">
        <f t="shared" ref="E4:E8" si="1">1-(C4/B4)</f>
        <v>0.71343283582089556</v>
      </c>
    </row>
    <row r="5" spans="1:5" x14ac:dyDescent="0.25">
      <c r="A5">
        <v>3</v>
      </c>
      <c r="B5" s="1">
        <f t="shared" ref="B5:B8" si="2">B4</f>
        <v>3417.0000000000005</v>
      </c>
      <c r="C5" s="1">
        <f t="shared" ref="C5:C8" si="3">C4</f>
        <v>979.2</v>
      </c>
      <c r="D5" s="1">
        <f t="shared" si="0"/>
        <v>2437.8000000000002</v>
      </c>
      <c r="E5" s="2">
        <f t="shared" si="1"/>
        <v>0.71343283582089556</v>
      </c>
    </row>
    <row r="6" spans="1:5" x14ac:dyDescent="0.25">
      <c r="A6">
        <v>4</v>
      </c>
      <c r="B6" s="1">
        <f t="shared" si="2"/>
        <v>3417.0000000000005</v>
      </c>
      <c r="C6" s="1">
        <f t="shared" si="3"/>
        <v>979.2</v>
      </c>
      <c r="D6" s="1">
        <f t="shared" si="0"/>
        <v>2437.8000000000002</v>
      </c>
      <c r="E6" s="2">
        <f t="shared" si="1"/>
        <v>0.71343283582089556</v>
      </c>
    </row>
    <row r="7" spans="1:5" x14ac:dyDescent="0.25">
      <c r="A7">
        <v>5</v>
      </c>
      <c r="B7" s="1">
        <f t="shared" si="2"/>
        <v>3417.0000000000005</v>
      </c>
      <c r="C7" s="1">
        <f t="shared" si="3"/>
        <v>979.2</v>
      </c>
      <c r="D7" s="1">
        <f t="shared" si="0"/>
        <v>2437.8000000000002</v>
      </c>
      <c r="E7" s="2">
        <f t="shared" si="1"/>
        <v>0.71343283582089556</v>
      </c>
    </row>
    <row r="8" spans="1:5" x14ac:dyDescent="0.25">
      <c r="A8">
        <v>6</v>
      </c>
      <c r="B8" s="1">
        <f t="shared" si="2"/>
        <v>3417.0000000000005</v>
      </c>
      <c r="C8" s="1">
        <f t="shared" si="3"/>
        <v>979.2</v>
      </c>
      <c r="D8" s="1">
        <f t="shared" si="0"/>
        <v>2437.8000000000002</v>
      </c>
      <c r="E8" s="2">
        <f t="shared" si="1"/>
        <v>0.71343283582089556</v>
      </c>
    </row>
    <row r="9" spans="1:5" x14ac:dyDescent="0.25">
      <c r="A9">
        <v>7</v>
      </c>
      <c r="B9" s="1">
        <v>0</v>
      </c>
      <c r="C9" s="1">
        <v>0</v>
      </c>
      <c r="D9" s="1">
        <f t="shared" si="0"/>
        <v>0</v>
      </c>
      <c r="E9" s="2"/>
    </row>
    <row r="10" spans="1:5" x14ac:dyDescent="0.25">
      <c r="A10">
        <v>8</v>
      </c>
      <c r="B10" s="1">
        <f t="shared" ref="B10:B12" si="4">B9</f>
        <v>0</v>
      </c>
      <c r="C10" s="1">
        <f t="shared" ref="C10:C12" si="5">C9</f>
        <v>0</v>
      </c>
      <c r="D10" s="1">
        <f t="shared" si="0"/>
        <v>0</v>
      </c>
      <c r="E10" s="2"/>
    </row>
    <row r="11" spans="1:5" x14ac:dyDescent="0.25">
      <c r="A11">
        <v>9</v>
      </c>
      <c r="B11" s="1">
        <f t="shared" si="4"/>
        <v>0</v>
      </c>
      <c r="C11" s="1">
        <f t="shared" si="5"/>
        <v>0</v>
      </c>
      <c r="D11" s="1">
        <f t="shared" si="0"/>
        <v>0</v>
      </c>
      <c r="E11" s="2"/>
    </row>
    <row r="12" spans="1:5" x14ac:dyDescent="0.25">
      <c r="A12">
        <v>10</v>
      </c>
      <c r="B12" s="1">
        <f t="shared" si="4"/>
        <v>0</v>
      </c>
      <c r="C12" s="1">
        <f t="shared" si="5"/>
        <v>0</v>
      </c>
      <c r="D12" s="1">
        <f t="shared" si="0"/>
        <v>0</v>
      </c>
      <c r="E12" s="2"/>
    </row>
    <row r="14" spans="1:5" x14ac:dyDescent="0.25">
      <c r="B14" s="1">
        <f>SUM(B3:B13)</f>
        <v>20502.000000000004</v>
      </c>
      <c r="C14" s="1">
        <f>SUM(C3:C12)</f>
        <v>5875.2</v>
      </c>
      <c r="D14" s="1">
        <f>B14-C14</f>
        <v>14626.800000000003</v>
      </c>
    </row>
    <row r="16" spans="1:5" x14ac:dyDescent="0.25">
      <c r="C16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Beleuchtungskonzept</vt:lpstr>
      <vt:lpstr>Contractingberechnung</vt:lpstr>
      <vt:lpstr>Renditebetrachtung EPC</vt:lpstr>
      <vt:lpstr>Einsparbetrachtung Kunde Strom</vt:lpstr>
    </vt:vector>
  </TitlesOfParts>
  <Company>MPW Legal &amp; Tax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Neumeyer</dc:creator>
  <cp:lastModifiedBy>Stefan Schulze-Sturm</cp:lastModifiedBy>
  <dcterms:created xsi:type="dcterms:W3CDTF">2016-02-23T12:36:55Z</dcterms:created>
  <dcterms:modified xsi:type="dcterms:W3CDTF">2016-03-08T18:41:06Z</dcterms:modified>
</cp:coreProperties>
</file>