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0490" windowHeight="7155"/>
  </bookViews>
  <sheets>
    <sheet name="Kalkulation" sheetId="1" r:id="rId1"/>
    <sheet name="Erläuterungen" sheetId="3" r:id="rId2"/>
    <sheet name="Renditebetrachtung" sheetId="2" r:id="rId3"/>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19" i="1" l="1"/>
  <c r="I19" i="1"/>
  <c r="F35" i="2"/>
  <c r="B8" i="1" l="1"/>
  <c r="D20" i="2"/>
  <c r="D5" i="2"/>
  <c r="H12" i="1"/>
  <c r="B21" i="1" l="1"/>
  <c r="H7" i="1" s="1"/>
  <c r="D6" i="1"/>
  <c r="B11" i="1"/>
  <c r="H4" i="1" s="1"/>
  <c r="H9" i="1" s="1"/>
  <c r="B9" i="1"/>
  <c r="D9" i="1" s="1"/>
  <c r="D7" i="1" l="1"/>
  <c r="B23" i="1"/>
  <c r="H11" i="1"/>
  <c r="B5" i="2" s="1"/>
  <c r="D11" i="1" l="1"/>
  <c r="C20" i="2" s="1"/>
  <c r="C21" i="2" s="1"/>
  <c r="C22" i="2" s="1"/>
  <c r="C23" i="2" s="1"/>
  <c r="C24" i="2" s="1"/>
  <c r="C25" i="2" s="1"/>
  <c r="C26" i="2" s="1"/>
  <c r="C27" i="2" s="1"/>
  <c r="C28" i="2" s="1"/>
  <c r="C29" i="2" s="1"/>
  <c r="C30" i="2" s="1"/>
  <c r="C31" i="2" s="1"/>
  <c r="C32" i="2" s="1"/>
  <c r="C33" i="2" s="1"/>
  <c r="C34" i="2" s="1"/>
  <c r="D8" i="1"/>
  <c r="C5" i="2"/>
  <c r="E5" i="2"/>
  <c r="E6" i="2" s="1"/>
  <c r="E7" i="2" s="1"/>
  <c r="E8" i="2" s="1"/>
  <c r="E9" i="2" s="1"/>
  <c r="E10" i="2" s="1"/>
  <c r="E11" i="2" s="1"/>
  <c r="E12" i="2" s="1"/>
  <c r="E13" i="2" s="1"/>
  <c r="E14" i="2" s="1"/>
  <c r="E20" i="2"/>
  <c r="E21" i="2" s="1"/>
  <c r="E22" i="2" s="1"/>
  <c r="E23" i="2" s="1"/>
  <c r="E24" i="2" s="1"/>
  <c r="E25" i="2" s="1"/>
  <c r="E26" i="2" s="1"/>
  <c r="E27" i="2" s="1"/>
  <c r="E28" i="2" s="1"/>
  <c r="E29" i="2" s="1"/>
  <c r="E30" i="2" s="1"/>
  <c r="E31" i="2" s="1"/>
  <c r="E32" i="2" s="1"/>
  <c r="E33" i="2" s="1"/>
  <c r="E34" i="2" s="1"/>
  <c r="B6" i="2"/>
  <c r="B7" i="2" s="1"/>
  <c r="B8" i="2" s="1"/>
  <c r="B9" i="2" s="1"/>
  <c r="B10" i="2" s="1"/>
  <c r="B11" i="2" s="1"/>
  <c r="B12" i="2" s="1"/>
  <c r="B13" i="2" s="1"/>
  <c r="B14" i="2" s="1"/>
  <c r="B20" i="2"/>
  <c r="C6" i="2"/>
  <c r="F5" i="2"/>
  <c r="G5" i="2" l="1"/>
  <c r="B21" i="2"/>
  <c r="F20" i="2"/>
  <c r="G20" i="2" s="1"/>
  <c r="C7" i="2"/>
  <c r="F6" i="2"/>
  <c r="G6" i="2" l="1"/>
  <c r="F21" i="2"/>
  <c r="G21" i="2" s="1"/>
  <c r="B22" i="2"/>
  <c r="C8" i="2"/>
  <c r="F7" i="2"/>
  <c r="G7" i="2" l="1"/>
  <c r="B23" i="2"/>
  <c r="F22" i="2"/>
  <c r="G22" i="2" s="1"/>
  <c r="C9" i="2"/>
  <c r="F8" i="2"/>
  <c r="G8" i="2" l="1"/>
  <c r="B24" i="2"/>
  <c r="F23" i="2"/>
  <c r="G23" i="2" s="1"/>
  <c r="C10" i="2"/>
  <c r="F9" i="2"/>
  <c r="G9" i="2" l="1"/>
  <c r="B25" i="2"/>
  <c r="F24" i="2"/>
  <c r="G24" i="2" s="1"/>
  <c r="C11" i="2"/>
  <c r="F10" i="2"/>
  <c r="G10" i="2" l="1"/>
  <c r="B26" i="2"/>
  <c r="F25" i="2"/>
  <c r="G25" i="2" s="1"/>
  <c r="C12" i="2"/>
  <c r="F11" i="2"/>
  <c r="G11" i="2" l="1"/>
  <c r="B27" i="2"/>
  <c r="F26" i="2"/>
  <c r="G26" i="2" s="1"/>
  <c r="C13" i="2"/>
  <c r="F12" i="2"/>
  <c r="G12" i="2" l="1"/>
  <c r="B28" i="2"/>
  <c r="F27" i="2"/>
  <c r="G27" i="2" s="1"/>
  <c r="C14" i="2"/>
  <c r="F14" i="2" s="1"/>
  <c r="F13" i="2"/>
  <c r="G13" i="2" l="1"/>
  <c r="G14" i="2" s="1"/>
  <c r="F17" i="2"/>
  <c r="H18" i="1" s="1"/>
  <c r="F15" i="2"/>
  <c r="F16" i="2"/>
  <c r="H16" i="1" s="1"/>
  <c r="B29" i="2"/>
  <c r="F28" i="2"/>
  <c r="G28" i="2" s="1"/>
  <c r="B30" i="2" l="1"/>
  <c r="F29" i="2"/>
  <c r="G29" i="2" s="1"/>
  <c r="B31" i="2" l="1"/>
  <c r="F30" i="2"/>
  <c r="G30" i="2" s="1"/>
  <c r="B32" i="2" l="1"/>
  <c r="F31" i="2"/>
  <c r="G31" i="2" s="1"/>
  <c r="B33" i="2" l="1"/>
  <c r="F32" i="2"/>
  <c r="G32" i="2" s="1"/>
  <c r="B34" i="2" l="1"/>
  <c r="F34" i="2" s="1"/>
  <c r="F37" i="2" s="1"/>
  <c r="I18" i="1" s="1"/>
  <c r="F33" i="2"/>
  <c r="G33" i="2" s="1"/>
  <c r="G34" i="2" s="1"/>
  <c r="F36" i="2" l="1"/>
  <c r="I16" i="1" s="1"/>
</calcChain>
</file>

<file path=xl/sharedStrings.xml><?xml version="1.0" encoding="utf-8"?>
<sst xmlns="http://schemas.openxmlformats.org/spreadsheetml/2006/main" count="210" uniqueCount="128">
  <si>
    <t>Daten Bestandsobjekt</t>
  </si>
  <si>
    <t>Installierte Leistung</t>
  </si>
  <si>
    <t>kW</t>
  </si>
  <si>
    <t>Jahresnutzungsgrad</t>
  </si>
  <si>
    <t>Energieverbrauch</t>
  </si>
  <si>
    <t>Wärmebedarf</t>
  </si>
  <si>
    <t>Verhältnis Hi/HS</t>
  </si>
  <si>
    <t>Preis Erdgas</t>
  </si>
  <si>
    <t>Ct/kWh</t>
  </si>
  <si>
    <t>Energiekosten</t>
  </si>
  <si>
    <t>€/a</t>
  </si>
  <si>
    <t>kWh/a</t>
  </si>
  <si>
    <t>Investitionskosten</t>
  </si>
  <si>
    <t>€</t>
  </si>
  <si>
    <t>Laufende Kosten</t>
  </si>
  <si>
    <t>Wartung</t>
  </si>
  <si>
    <t>Instandhaltungsfaktor</t>
  </si>
  <si>
    <t>Kosten Instandhaltung</t>
  </si>
  <si>
    <t>sonst. Grundkosten</t>
  </si>
  <si>
    <t>Summe laufende Kosten</t>
  </si>
  <si>
    <t>Wirtschafltichkeit des Konzeptes</t>
  </si>
  <si>
    <t>Faktor kalk. Instandhaltung</t>
  </si>
  <si>
    <t>kalk. Instandhaltung</t>
  </si>
  <si>
    <t>Summe Baseline</t>
  </si>
  <si>
    <t>Einspargarantie</t>
  </si>
  <si>
    <t>Preisobergrenze</t>
  </si>
  <si>
    <t>Jahr</t>
  </si>
  <si>
    <t>Erlöse</t>
  </si>
  <si>
    <t>einmalige Kosten</t>
  </si>
  <si>
    <t>laufende Kosten</t>
  </si>
  <si>
    <t>EBITDA</t>
  </si>
  <si>
    <t>Restwert Anlage nach 10 Jahren</t>
  </si>
  <si>
    <t>Kalkulationstool epc+ "Heizungsmodernisierung"</t>
  </si>
  <si>
    <t>Betrachtung Vertragslaufzeit 10 Jahre</t>
  </si>
  <si>
    <t>Betrachtung Vertragslaufzeit 15 Jahre</t>
  </si>
  <si>
    <t>Interner Zinsfuss</t>
  </si>
  <si>
    <t>Grundlagen auf Basis Modernisierung / Wärmelieferung</t>
  </si>
  <si>
    <t>Verbrauchsunabhängige Kosten Anbieter auf Basis Wärmelieferung</t>
  </si>
  <si>
    <t>Vbh</t>
  </si>
  <si>
    <t>Schornsteinfeger</t>
  </si>
  <si>
    <t>Erläuterungen zu Eingabeparmetern und Berechnungen</t>
  </si>
  <si>
    <t>1.</t>
  </si>
  <si>
    <t>1.1.</t>
  </si>
  <si>
    <t>Installierte Anschlussleistung der Bestandsanlage</t>
  </si>
  <si>
    <t>1.2.</t>
  </si>
  <si>
    <t>1.3.</t>
  </si>
  <si>
    <t>Verhältnis Hi/Hs</t>
  </si>
  <si>
    <t>Verhältnis Heizwert zu Brennwert; Wert geht in die Berechnung des Wärmeverbrauchs ein</t>
  </si>
  <si>
    <t>1.4.</t>
  </si>
  <si>
    <t>Annahme / Datenbasis</t>
  </si>
  <si>
    <t>Ist-Aufnahme</t>
  </si>
  <si>
    <t>Der Energieverbrauch ergibt sich aus den durschnittlichen Verbäuchen der letzten drei Jahre</t>
  </si>
  <si>
    <t>1.5.</t>
  </si>
  <si>
    <t>Berechnung</t>
  </si>
  <si>
    <t>Vollbenutzungsstunden; Wert dient als Plausibilitätscheck (Installierte Leistung - Energieverbrauch)</t>
  </si>
  <si>
    <t>1.7.</t>
  </si>
  <si>
    <t>1.8.</t>
  </si>
  <si>
    <t>Aktueller Erdgaspreis des Kunden</t>
  </si>
  <si>
    <t>Ermittlung der Energiekosten aus dem (durchschnittlichem Energieberbrauch) und dem Erdgaspreis des Kunden</t>
  </si>
  <si>
    <t>1. Daten Bestandsobjekt / Ist-Situation</t>
  </si>
  <si>
    <t>2. Grundlagen auf Basis Modernisierung / Wärmelieferung</t>
  </si>
  <si>
    <t>3. Verbrauchsunabhängige Kosten Anbieter auf Basis Wärmelieferung</t>
  </si>
  <si>
    <t>4. Berechnung Baseline / Preisobergrenze</t>
  </si>
  <si>
    <t>2.</t>
  </si>
  <si>
    <t>Berschreibung</t>
  </si>
  <si>
    <t>2.1.</t>
  </si>
  <si>
    <t>Berechnung des Anbieters über die Größe der zu installierenden Leistung (Basis Vbh und Wärmebedarf)</t>
  </si>
  <si>
    <t>2.2.</t>
  </si>
  <si>
    <t>Prämisse des Anbieters im Rahmen Wärmelieferung</t>
  </si>
  <si>
    <t>s.o.</t>
  </si>
  <si>
    <t>Berechnung über ermittelten Wärmebedarf und Berücksichtigung Verhältnis Hi/Hs sowie angesetzten (künftigen) JNG</t>
  </si>
  <si>
    <t>Anlagenspezifischer Jahrensutzungsgrad (JNG) der Bestandsanlage; Wert geht in die Berechnung des Wärmeverbrauchs ein</t>
  </si>
  <si>
    <t>Wärmebedarf des Objektes unter Berücksichtigung des JNG und des Verhältnisses Hi/Hs</t>
  </si>
  <si>
    <t>s.o. (Wärmeverbrauch bleibt identisch)</t>
  </si>
  <si>
    <t>Einkaufspreis Erdgas des Anbieters</t>
  </si>
  <si>
    <t>Annahme / Eingabe</t>
  </si>
  <si>
    <t>Wert / Eingabe</t>
  </si>
  <si>
    <t>Ist-Aufnahme / Eingabe</t>
  </si>
  <si>
    <t>Ist-Aufnahme /Eingabe</t>
  </si>
  <si>
    <t>Künftige Energiekosten des Anbieters</t>
  </si>
  <si>
    <t>2.3.</t>
  </si>
  <si>
    <t>2.4.</t>
  </si>
  <si>
    <t>2.5.</t>
  </si>
  <si>
    <t>2.6.</t>
  </si>
  <si>
    <t>2.7.</t>
  </si>
  <si>
    <t>2.8.</t>
  </si>
  <si>
    <t>1.6.</t>
  </si>
  <si>
    <t xml:space="preserve">3. </t>
  </si>
  <si>
    <t>3.1.</t>
  </si>
  <si>
    <t>3.2.</t>
  </si>
  <si>
    <t>3.3.</t>
  </si>
  <si>
    <t>Ergebnis der Ermittlung der Investtionskosten des Anbieters in die neue Heizungsanlage</t>
  </si>
  <si>
    <t>Kalkulation des Anbieters über Wartungskosten der neuen Anlage</t>
  </si>
  <si>
    <t>Instandhaltungskosten</t>
  </si>
  <si>
    <t>Ansatz des Anbieters bzgl. Instandhaltungsfaktor für die neue Anlage (Basis z.B. VDI 2077)</t>
  </si>
  <si>
    <t>3.4.</t>
  </si>
  <si>
    <t xml:space="preserve">Ermittlung der künftigen (jährlichen) Instandhaltungskosten für die neuen Anlage auf Basis Instandhaltungsfaktor und Investitionsvolumen </t>
  </si>
  <si>
    <t>3.5.</t>
  </si>
  <si>
    <t>Ergebnis der der Kostenkalkulation des Anbieters für Betriebsführung, Analagenmanagement, Verwaltungskosten, Schornsteinfeger etc.)</t>
  </si>
  <si>
    <t>3.6.</t>
  </si>
  <si>
    <t>Summe aus 3.2., 3.4., 3.5</t>
  </si>
  <si>
    <t xml:space="preserve">4. </t>
  </si>
  <si>
    <t>Berechnung  Baseline / Preisobergrenze</t>
  </si>
  <si>
    <t>4.1.</t>
  </si>
  <si>
    <t>4.2.</t>
  </si>
  <si>
    <t>4.3.</t>
  </si>
  <si>
    <t>4.4.</t>
  </si>
  <si>
    <t>siehe 1.8.</t>
  </si>
  <si>
    <t>Kosten für Wartung der installierten Anlage (Basis letzte Rechnung)</t>
  </si>
  <si>
    <t>Faktor kalk. Instandhaltungskosten</t>
  </si>
  <si>
    <t>Ansatz für Instandhaltungskosten. Hintergrund: Beim Eigenbetrieb durch den Kunden ist dieser für Instandhaltung verantwortlich. Über diesen Faktor garantiert der Anbieter dem Kunden, dass die künftigen Kosten für Instandhaltung unterhalb des üblich anzusetzenden Wertes liegen. Faktor ist vom Anbieter wählbar; unter Berücksichtigung der Wirtschaftlihckeit des Konzeptes)</t>
  </si>
  <si>
    <t>Kosten für Schornsteinfeger der installierten Anlage gemäß letzter Rechnung</t>
  </si>
  <si>
    <t>4.5.</t>
  </si>
  <si>
    <t>Kosten, die der Kunde heute für die Beheizung des Objektes aufbringen muss bzw. müsste (unter Berücksichtigung der pauschalierten und kalkulatorischen Ansatzes von Instandhaltungskosten)</t>
  </si>
  <si>
    <t>4.6.</t>
  </si>
  <si>
    <t>Einspargarantie ggü. dem Kunden (bezogen auf 4.5.)</t>
  </si>
  <si>
    <t>4.7.</t>
  </si>
  <si>
    <t>Künftige Kosten des Kunden (Preis epc+ Heizung)</t>
  </si>
  <si>
    <t>4.8.</t>
  </si>
  <si>
    <t>Restwert Heizung</t>
  </si>
  <si>
    <t>Sofern der Vertrag nach 10 Jahren endet, ist ein Restwert zu zahlen. Ansatz: 1/3 der Investionssumme</t>
  </si>
  <si>
    <t>NPV</t>
  </si>
  <si>
    <t>Kalkualtorischer Zinssatz</t>
  </si>
  <si>
    <t>Renditebetrachtung</t>
  </si>
  <si>
    <t>10 Jahre</t>
  </si>
  <si>
    <t>15 Jahre</t>
  </si>
  <si>
    <t>EBITDA (kum.)</t>
  </si>
  <si>
    <t>Gewinn (über Vertragslaufzeit)</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</si>
</sst>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8" formatCode="#,##0.00\ &quot;€&quot;;[Red]\-#,##0.00\ &quot;€&quot;"/>
    <numFmt numFmtId="43" formatCode="_-* #,##0.00\ _€_-;\-* #,##0.00\ _€_-;_-* &quot;-&quot;??\ _€_-;_-@_-"/>
    <numFmt numFmtId="164" formatCode="0.000"/>
    <numFmt numFmtId="165" formatCode="_-* #,##0\ _€_-;\-* #,##0\ _€_-;_-* &quot;-&quot;??\ _€_-;_-@_-"/>
  </numFmts>
  <fonts count="3" x14ac:knownFonts="1">
    <font>
      <sz val="11"/>
      <color theme="1"/>
      <name val="Calibri"/>
      <family val="2"/>
      <scheme val="minor"/>
    </font>
    <font>
      <sz val="11"/>
      <color theme="1"/>
      <name val="Calibri"/>
      <family val="2"/>
      <scheme val="minor"/>
    </font>
    <font>
      <b/>
      <sz val="11"/>
      <color theme="1"/>
      <name val="Calibri"/>
      <family val="2"/>
      <scheme val="minor"/>
    </font>
  </fonts>
  <fills count="5">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theme="0" tint="-0.249977111117893"/>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diagonal/>
    </border>
  </borders>
  <cellStyleXfs count="2">
    <xf numFmtId="0" fontId="0" fillId="0" borderId="0"/>
    <xf numFmtId="43" fontId="1" fillId="0" borderId="0" applyFont="0" applyFill="0" applyBorder="0" applyAlignment="0" applyProtection="0"/>
  </cellStyleXfs>
  <cellXfs count="75">
    <xf numFmtId="0" fontId="0" fillId="0" borderId="0" xfId="0"/>
    <xf numFmtId="9" fontId="0" fillId="0" borderId="0" xfId="0" applyNumberFormat="1"/>
    <xf numFmtId="2" fontId="0" fillId="0" borderId="0" xfId="0" applyNumberFormat="1"/>
    <xf numFmtId="43" fontId="0" fillId="0" borderId="0" xfId="0" applyNumberFormat="1"/>
    <xf numFmtId="0" fontId="0" fillId="0" borderId="1" xfId="0" applyBorder="1"/>
    <xf numFmtId="2" fontId="0" fillId="0" borderId="1" xfId="0" applyNumberFormat="1" applyBorder="1"/>
    <xf numFmtId="9" fontId="0" fillId="2" borderId="1" xfId="0" applyNumberFormat="1" applyFill="1" applyBorder="1"/>
    <xf numFmtId="3" fontId="0" fillId="0" borderId="1" xfId="0" applyNumberFormat="1" applyBorder="1"/>
    <xf numFmtId="43" fontId="0" fillId="0" borderId="1" xfId="1" applyFont="1" applyBorder="1"/>
    <xf numFmtId="43" fontId="0" fillId="0" borderId="1" xfId="0" applyNumberFormat="1" applyBorder="1"/>
    <xf numFmtId="0" fontId="0" fillId="3" borderId="1" xfId="0" applyFill="1" applyBorder="1"/>
    <xf numFmtId="0" fontId="2" fillId="3" borderId="1" xfId="0" applyFont="1" applyFill="1" applyBorder="1"/>
    <xf numFmtId="43" fontId="0" fillId="2" borderId="1" xfId="1" applyFont="1" applyFill="1" applyBorder="1"/>
    <xf numFmtId="43" fontId="2" fillId="0" borderId="1" xfId="1" applyFont="1" applyBorder="1"/>
    <xf numFmtId="0" fontId="0" fillId="2" borderId="1" xfId="0" applyFill="1" applyBorder="1" applyAlignment="1">
      <alignment horizontal="center"/>
    </xf>
    <xf numFmtId="9" fontId="0" fillId="2" borderId="1" xfId="0" applyNumberFormat="1" applyFill="1" applyBorder="1" applyAlignment="1">
      <alignment horizontal="center"/>
    </xf>
    <xf numFmtId="164" fontId="0" fillId="2" borderId="1" xfId="0" applyNumberFormat="1" applyFill="1" applyBorder="1" applyAlignment="1">
      <alignment horizontal="center"/>
    </xf>
    <xf numFmtId="43" fontId="0" fillId="2" borderId="1" xfId="1" applyFont="1" applyFill="1" applyBorder="1" applyAlignment="1">
      <alignment horizontal="center"/>
    </xf>
    <xf numFmtId="43" fontId="0" fillId="0" borderId="1" xfId="1" applyFont="1" applyBorder="1" applyAlignment="1">
      <alignment horizontal="center"/>
    </xf>
    <xf numFmtId="164" fontId="0" fillId="0" borderId="1" xfId="0" applyNumberFormat="1" applyBorder="1" applyAlignment="1">
      <alignment horizontal="center"/>
    </xf>
    <xf numFmtId="43" fontId="0" fillId="0" borderId="1" xfId="1" applyFont="1" applyBorder="1" applyAlignment="1"/>
    <xf numFmtId="0" fontId="0" fillId="3" borderId="7" xfId="0" applyFill="1" applyBorder="1"/>
    <xf numFmtId="0" fontId="0" fillId="0" borderId="8" xfId="0" applyBorder="1"/>
    <xf numFmtId="0" fontId="0" fillId="3" borderId="9" xfId="0" applyFill="1" applyBorder="1"/>
    <xf numFmtId="43" fontId="0" fillId="0" borderId="10" xfId="1" applyFont="1" applyBorder="1" applyAlignment="1">
      <alignment horizontal="center"/>
    </xf>
    <xf numFmtId="0" fontId="0" fillId="0" borderId="10" xfId="0" applyBorder="1"/>
    <xf numFmtId="0" fontId="0" fillId="0" borderId="11" xfId="0" applyBorder="1"/>
    <xf numFmtId="0" fontId="2" fillId="3" borderId="7" xfId="0" applyFont="1" applyFill="1" applyBorder="1"/>
    <xf numFmtId="0" fontId="2" fillId="0" borderId="8" xfId="0" applyFont="1" applyBorder="1"/>
    <xf numFmtId="43" fontId="0" fillId="0" borderId="10" xfId="1" applyFont="1" applyBorder="1"/>
    <xf numFmtId="0" fontId="0" fillId="3" borderId="7" xfId="0" applyFill="1" applyBorder="1" applyAlignment="1">
      <alignment horizontal="left"/>
    </xf>
    <xf numFmtId="0" fontId="0" fillId="3" borderId="7" xfId="0" applyFill="1" applyBorder="1" applyAlignment="1">
      <alignment horizontal="right"/>
    </xf>
    <xf numFmtId="3" fontId="0" fillId="0" borderId="1" xfId="0" applyNumberFormat="1" applyBorder="1" applyAlignment="1">
      <alignment horizontal="center"/>
    </xf>
    <xf numFmtId="10" fontId="0" fillId="0" borderId="1" xfId="0" applyNumberFormat="1" applyBorder="1" applyAlignment="1">
      <alignment horizontal="center"/>
    </xf>
    <xf numFmtId="10" fontId="0" fillId="2" borderId="1" xfId="0" applyNumberFormat="1" applyFill="1" applyBorder="1" applyAlignment="1">
      <alignment horizontal="center"/>
    </xf>
    <xf numFmtId="165" fontId="0" fillId="0" borderId="1" xfId="1" applyNumberFormat="1" applyFont="1" applyBorder="1" applyAlignment="1">
      <alignment horizontal="center"/>
    </xf>
    <xf numFmtId="165" fontId="0" fillId="0" borderId="1" xfId="1" applyNumberFormat="1" applyFont="1" applyFill="1" applyBorder="1" applyAlignment="1">
      <alignment horizontal="center"/>
    </xf>
    <xf numFmtId="0" fontId="2" fillId="0" borderId="0" xfId="0" applyFont="1"/>
    <xf numFmtId="0" fontId="0" fillId="0" borderId="0" xfId="0" applyAlignment="1">
      <alignment wrapText="1"/>
    </xf>
    <xf numFmtId="0" fontId="0" fillId="3" borderId="1" xfId="0" applyFill="1" applyBorder="1" applyAlignment="1">
      <alignment wrapText="1"/>
    </xf>
    <xf numFmtId="0" fontId="0" fillId="0" borderId="1" xfId="0" applyBorder="1" applyAlignment="1">
      <alignment wrapText="1"/>
    </xf>
    <xf numFmtId="0" fontId="0" fillId="0" borderId="8" xfId="0" applyBorder="1" applyAlignment="1">
      <alignment wrapText="1"/>
    </xf>
    <xf numFmtId="0" fontId="0" fillId="0" borderId="11" xfId="0" applyBorder="1" applyAlignment="1">
      <alignment wrapText="1"/>
    </xf>
    <xf numFmtId="0" fontId="0" fillId="3" borderId="13" xfId="0" applyFill="1" applyBorder="1"/>
    <xf numFmtId="0" fontId="0" fillId="3" borderId="14" xfId="0" applyFill="1" applyBorder="1" applyAlignment="1">
      <alignment wrapText="1"/>
    </xf>
    <xf numFmtId="0" fontId="2" fillId="3" borderId="12" xfId="0" applyFont="1" applyFill="1" applyBorder="1"/>
    <xf numFmtId="0" fontId="2" fillId="3" borderId="13" xfId="0" applyFont="1" applyFill="1" applyBorder="1" applyAlignment="1">
      <alignment wrapText="1"/>
    </xf>
    <xf numFmtId="8" fontId="0" fillId="0" borderId="0" xfId="1" applyNumberFormat="1" applyFont="1" applyFill="1" applyBorder="1"/>
    <xf numFmtId="8" fontId="0" fillId="0" borderId="0" xfId="0" applyNumberFormat="1"/>
    <xf numFmtId="0" fontId="0" fillId="3" borderId="0" xfId="0" applyFill="1" applyBorder="1" applyAlignment="1">
      <alignment horizontal="right"/>
    </xf>
    <xf numFmtId="0" fontId="0" fillId="3" borderId="15" xfId="0" applyFill="1" applyBorder="1"/>
    <xf numFmtId="0" fontId="0" fillId="3" borderId="0" xfId="0" applyFill="1" applyBorder="1"/>
    <xf numFmtId="43" fontId="0" fillId="0" borderId="0" xfId="1" applyFont="1" applyBorder="1"/>
    <xf numFmtId="43" fontId="0" fillId="0" borderId="0" xfId="0" applyNumberFormat="1" applyBorder="1"/>
    <xf numFmtId="2" fontId="0" fillId="0" borderId="0" xfId="0" applyNumberFormat="1" applyBorder="1"/>
    <xf numFmtId="0" fontId="0" fillId="0" borderId="0" xfId="0" applyBorder="1"/>
    <xf numFmtId="9" fontId="0" fillId="0" borderId="1" xfId="0" applyNumberFormat="1" applyBorder="1"/>
    <xf numFmtId="8" fontId="0" fillId="0" borderId="1" xfId="0" applyNumberFormat="1" applyBorder="1"/>
    <xf numFmtId="9" fontId="0" fillId="0" borderId="8" xfId="0" applyNumberFormat="1" applyBorder="1"/>
    <xf numFmtId="8" fontId="0" fillId="0" borderId="8" xfId="0" applyNumberFormat="1" applyBorder="1"/>
    <xf numFmtId="43" fontId="0" fillId="0" borderId="10" xfId="0" applyNumberFormat="1" applyBorder="1"/>
    <xf numFmtId="43" fontId="0" fillId="0" borderId="11" xfId="0" applyNumberFormat="1" applyBorder="1"/>
    <xf numFmtId="0" fontId="2" fillId="4" borderId="12" xfId="0" applyFont="1" applyFill="1" applyBorder="1"/>
    <xf numFmtId="0" fontId="0" fillId="4" borderId="7" xfId="0" applyFill="1" applyBorder="1"/>
    <xf numFmtId="0" fontId="0" fillId="4" borderId="9" xfId="0" applyFill="1" applyBorder="1"/>
    <xf numFmtId="0" fontId="0" fillId="4" borderId="13" xfId="0" applyFill="1" applyBorder="1"/>
    <xf numFmtId="0" fontId="0" fillId="4" borderId="14" xfId="0" applyFill="1" applyBorder="1"/>
    <xf numFmtId="0" fontId="2" fillId="3" borderId="2" xfId="0" applyFont="1" applyFill="1" applyBorder="1" applyAlignment="1">
      <alignment horizontal="center"/>
    </xf>
    <xf numFmtId="0" fontId="2" fillId="3" borderId="3" xfId="0" applyFont="1" applyFill="1" applyBorder="1" applyAlignment="1">
      <alignment horizontal="center"/>
    </xf>
    <xf numFmtId="0" fontId="2" fillId="3" borderId="4" xfId="0" applyFont="1" applyFill="1" applyBorder="1" applyAlignment="1">
      <alignment horizontal="center"/>
    </xf>
    <xf numFmtId="0" fontId="2" fillId="3" borderId="5" xfId="0" applyFont="1" applyFill="1" applyBorder="1" applyAlignment="1">
      <alignment horizontal="center" wrapText="1"/>
    </xf>
    <xf numFmtId="0" fontId="2" fillId="3" borderId="6" xfId="0" applyFont="1" applyFill="1" applyBorder="1" applyAlignment="1">
      <alignment horizontal="center" wrapText="1"/>
    </xf>
    <xf numFmtId="0" fontId="2" fillId="3" borderId="6" xfId="0" applyFont="1" applyFill="1" applyBorder="1" applyAlignment="1">
      <alignment horizontal="center"/>
    </xf>
    <xf numFmtId="0" fontId="2" fillId="3" borderId="2" xfId="0" applyFont="1" applyFill="1" applyBorder="1" applyAlignment="1">
      <alignment horizontal="center" wrapText="1"/>
    </xf>
    <xf numFmtId="0" fontId="2" fillId="3" borderId="3" xfId="0" applyFont="1" applyFill="1" applyBorder="1" applyAlignment="1">
      <alignment horizontal="center" wrapText="1"/>
    </xf>
  </cellXfs>
  <cellStyles count="2">
    <cellStyle name="Komma" xfId="1" builtinId="3"/>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5"/>
  <sheetViews>
    <sheetView tabSelected="1" workbookViewId="0">
      <selection activeCell="E17" sqref="E17"/>
    </sheetView>
  </sheetViews>
  <sheetFormatPr baseColWidth="10" defaultRowHeight="15" x14ac:dyDescent="0.25"/>
  <cols>
    <col min="1" max="1" width="24.28515625" customWidth="1"/>
    <col min="2" max="2" width="13" bestFit="1" customWidth="1"/>
    <col min="4" max="4" width="14" customWidth="1"/>
    <col min="5" max="5" width="17.5703125" customWidth="1"/>
    <col min="6" max="6" width="2.28515625" customWidth="1"/>
    <col min="7" max="7" width="28.5703125" customWidth="1"/>
    <col min="8" max="9" width="12" bestFit="1" customWidth="1"/>
  </cols>
  <sheetData>
    <row r="1" spans="1:9" x14ac:dyDescent="0.25">
      <c r="A1" t="s">
        <v>32</v>
      </c>
    </row>
    <row r="2" spans="1:9" ht="15.75" thickBot="1" x14ac:dyDescent="0.3"/>
    <row r="3" spans="1:9" ht="29.25" customHeight="1" x14ac:dyDescent="0.25">
      <c r="A3" s="67" t="s">
        <v>59</v>
      </c>
      <c r="B3" s="68"/>
      <c r="C3" s="69"/>
      <c r="D3" s="70" t="s">
        <v>60</v>
      </c>
      <c r="E3" s="71"/>
      <c r="G3" s="67" t="s">
        <v>62</v>
      </c>
      <c r="H3" s="68"/>
      <c r="I3" s="72"/>
    </row>
    <row r="4" spans="1:9" x14ac:dyDescent="0.25">
      <c r="A4" s="21" t="s">
        <v>1</v>
      </c>
      <c r="B4" s="14">
        <v>150</v>
      </c>
      <c r="C4" s="4" t="s">
        <v>2</v>
      </c>
      <c r="D4" s="14">
        <v>110</v>
      </c>
      <c r="E4" s="22" t="s">
        <v>2</v>
      </c>
      <c r="G4" s="21" t="s">
        <v>9</v>
      </c>
      <c r="H4" s="8">
        <f>B11</f>
        <v>10175</v>
      </c>
      <c r="I4" s="22" t="s">
        <v>10</v>
      </c>
    </row>
    <row r="5" spans="1:9" x14ac:dyDescent="0.25">
      <c r="A5" s="21" t="s">
        <v>3</v>
      </c>
      <c r="B5" s="15">
        <v>0.7</v>
      </c>
      <c r="C5" s="4"/>
      <c r="D5" s="15">
        <v>0.95</v>
      </c>
      <c r="E5" s="22"/>
      <c r="G5" s="21" t="s">
        <v>15</v>
      </c>
      <c r="H5" s="12">
        <v>250</v>
      </c>
      <c r="I5" s="22" t="s">
        <v>10</v>
      </c>
    </row>
    <row r="6" spans="1:9" x14ac:dyDescent="0.25">
      <c r="A6" s="21" t="s">
        <v>6</v>
      </c>
      <c r="B6" s="16">
        <v>0.90100000000000002</v>
      </c>
      <c r="C6" s="4"/>
      <c r="D6" s="19">
        <f>B6</f>
        <v>0.90100000000000002</v>
      </c>
      <c r="E6" s="22"/>
      <c r="G6" s="21" t="s">
        <v>21</v>
      </c>
      <c r="H6" s="6">
        <v>0.5</v>
      </c>
      <c r="I6" s="22"/>
    </row>
    <row r="7" spans="1:9" x14ac:dyDescent="0.25">
      <c r="A7" s="21" t="s">
        <v>4</v>
      </c>
      <c r="B7" s="17">
        <v>185000</v>
      </c>
      <c r="C7" s="4"/>
      <c r="D7" s="18">
        <f>D9/D6/D5</f>
        <v>136315.78947368421</v>
      </c>
      <c r="E7" s="22" t="s">
        <v>11</v>
      </c>
      <c r="G7" s="21" t="s">
        <v>22</v>
      </c>
      <c r="H7" s="8">
        <f>B21*H6</f>
        <v>131.25</v>
      </c>
      <c r="I7" s="22" t="s">
        <v>10</v>
      </c>
    </row>
    <row r="8" spans="1:9" x14ac:dyDescent="0.25">
      <c r="A8" s="21" t="s">
        <v>38</v>
      </c>
      <c r="B8" s="36">
        <f>B7/B4</f>
        <v>1233.3333333333333</v>
      </c>
      <c r="C8" s="4"/>
      <c r="D8" s="35">
        <f>D7/D4</f>
        <v>1239.2344497607655</v>
      </c>
      <c r="E8" s="22"/>
      <c r="G8" s="21" t="s">
        <v>39</v>
      </c>
      <c r="H8" s="8">
        <v>60</v>
      </c>
      <c r="I8" s="22" t="s">
        <v>10</v>
      </c>
    </row>
    <row r="9" spans="1:9" x14ac:dyDescent="0.25">
      <c r="A9" s="21" t="s">
        <v>5</v>
      </c>
      <c r="B9" s="18">
        <f>B7*B5*0.901</f>
        <v>116679.49999999999</v>
      </c>
      <c r="C9" s="4"/>
      <c r="D9" s="20">
        <f>B9</f>
        <v>116679.49999999999</v>
      </c>
      <c r="E9" s="22"/>
      <c r="G9" s="27" t="s">
        <v>23</v>
      </c>
      <c r="H9" s="13">
        <f>H8+H7+H5+H4</f>
        <v>10616.25</v>
      </c>
      <c r="I9" s="28" t="s">
        <v>10</v>
      </c>
    </row>
    <row r="10" spans="1:9" x14ac:dyDescent="0.25">
      <c r="A10" s="21" t="s">
        <v>7</v>
      </c>
      <c r="B10" s="14">
        <v>5.5</v>
      </c>
      <c r="C10" s="4" t="s">
        <v>8</v>
      </c>
      <c r="D10" s="14">
        <v>5.2</v>
      </c>
      <c r="E10" s="22"/>
      <c r="G10" s="21" t="s">
        <v>24</v>
      </c>
      <c r="H10" s="6">
        <v>0.03</v>
      </c>
      <c r="I10" s="22"/>
    </row>
    <row r="11" spans="1:9" ht="15.75" thickBot="1" x14ac:dyDescent="0.3">
      <c r="A11" s="23" t="s">
        <v>9</v>
      </c>
      <c r="B11" s="24">
        <f>B10*B7/100</f>
        <v>10175</v>
      </c>
      <c r="C11" s="25" t="s">
        <v>10</v>
      </c>
      <c r="D11" s="24">
        <f>D10*D7/100</f>
        <v>7088.4210526315801</v>
      </c>
      <c r="E11" s="26"/>
      <c r="G11" s="27" t="s">
        <v>25</v>
      </c>
      <c r="H11" s="13">
        <f>H9*(1-H10)</f>
        <v>10297.762499999999</v>
      </c>
      <c r="I11" s="28" t="s">
        <v>10</v>
      </c>
    </row>
    <row r="12" spans="1:9" ht="15.75" thickBot="1" x14ac:dyDescent="0.3">
      <c r="B12" s="3"/>
      <c r="G12" s="23" t="s">
        <v>31</v>
      </c>
      <c r="H12" s="29">
        <f>B16/3</f>
        <v>5833.333333333333</v>
      </c>
      <c r="I12" s="26" t="s">
        <v>13</v>
      </c>
    </row>
    <row r="14" spans="1:9" ht="15.75" thickBot="1" x14ac:dyDescent="0.3"/>
    <row r="15" spans="1:9" ht="30" customHeight="1" x14ac:dyDescent="0.25">
      <c r="A15" s="73" t="s">
        <v>61</v>
      </c>
      <c r="B15" s="74"/>
      <c r="C15" s="71"/>
      <c r="G15" s="62" t="s">
        <v>123</v>
      </c>
      <c r="H15" s="65" t="s">
        <v>124</v>
      </c>
      <c r="I15" s="66" t="s">
        <v>125</v>
      </c>
    </row>
    <row r="16" spans="1:9" x14ac:dyDescent="0.25">
      <c r="A16" s="30" t="s">
        <v>12</v>
      </c>
      <c r="B16" s="17">
        <v>17500</v>
      </c>
      <c r="C16" s="22" t="s">
        <v>13</v>
      </c>
      <c r="G16" s="63" t="s">
        <v>35</v>
      </c>
      <c r="H16" s="56">
        <f>Renditebetrachtung!F16</f>
        <v>0.10986978705635275</v>
      </c>
      <c r="I16" s="58">
        <f>Renditebetrachtung!F36</f>
        <v>0.1232035064493251</v>
      </c>
    </row>
    <row r="17" spans="1:9" ht="9" customHeight="1" x14ac:dyDescent="0.25">
      <c r="A17" s="30"/>
      <c r="B17" s="32"/>
      <c r="C17" s="22"/>
      <c r="G17" s="63"/>
      <c r="H17" s="4"/>
      <c r="I17" s="22"/>
    </row>
    <row r="18" spans="1:9" x14ac:dyDescent="0.25">
      <c r="A18" s="21" t="s">
        <v>14</v>
      </c>
      <c r="B18" s="33"/>
      <c r="C18" s="22"/>
      <c r="G18" s="63" t="s">
        <v>121</v>
      </c>
      <c r="H18" s="57">
        <f>Renditebetrachtung!F17</f>
        <v>4881.7468578074222</v>
      </c>
      <c r="I18" s="59">
        <f>Renditebetrachtung!F37</f>
        <v>7485.1518660827005</v>
      </c>
    </row>
    <row r="19" spans="1:9" ht="15.75" thickBot="1" x14ac:dyDescent="0.3">
      <c r="A19" s="31" t="s">
        <v>15</v>
      </c>
      <c r="B19" s="17">
        <v>220</v>
      </c>
      <c r="C19" s="22" t="s">
        <v>10</v>
      </c>
      <c r="G19" s="64" t="s">
        <v>127</v>
      </c>
      <c r="H19" s="60">
        <f>Renditebetrachtung!F15</f>
        <v>11601.747807017522</v>
      </c>
      <c r="I19" s="61">
        <f>Renditebetrachtung!F35</f>
        <v>17402.621710526284</v>
      </c>
    </row>
    <row r="20" spans="1:9" x14ac:dyDescent="0.25">
      <c r="A20" s="31" t="s">
        <v>16</v>
      </c>
      <c r="B20" s="34">
        <v>1.4999999999999999E-2</v>
      </c>
      <c r="C20" s="22"/>
    </row>
    <row r="21" spans="1:9" x14ac:dyDescent="0.25">
      <c r="A21" s="31" t="s">
        <v>17</v>
      </c>
      <c r="B21" s="18">
        <f>B20*B16</f>
        <v>262.5</v>
      </c>
      <c r="C21" s="22" t="s">
        <v>10</v>
      </c>
    </row>
    <row r="22" spans="1:9" x14ac:dyDescent="0.25">
      <c r="A22" s="31" t="s">
        <v>18</v>
      </c>
      <c r="B22" s="17">
        <v>400</v>
      </c>
      <c r="C22" s="22" t="s">
        <v>10</v>
      </c>
    </row>
    <row r="23" spans="1:9" ht="15.75" thickBot="1" x14ac:dyDescent="0.3">
      <c r="A23" s="23" t="s">
        <v>19</v>
      </c>
      <c r="B23" s="24">
        <f>B22+B21+B19</f>
        <v>882.5</v>
      </c>
      <c r="C23" s="26" t="s">
        <v>10</v>
      </c>
    </row>
    <row r="24" spans="1:9" x14ac:dyDescent="0.25">
      <c r="B24" s="2"/>
    </row>
    <row r="25" spans="1:9" x14ac:dyDescent="0.25">
      <c r="A25" s="49" t="s">
        <v>122</v>
      </c>
      <c r="B25" s="1">
        <v>0.05</v>
      </c>
    </row>
  </sheetData>
  <mergeCells count="4">
    <mergeCell ref="A3:C3"/>
    <mergeCell ref="D3:E3"/>
    <mergeCell ref="G3:I3"/>
    <mergeCell ref="A15:C15"/>
  </mergeCells>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9"/>
  <sheetViews>
    <sheetView topLeftCell="A16" workbookViewId="0">
      <selection activeCell="B26" sqref="B26"/>
    </sheetView>
  </sheetViews>
  <sheetFormatPr baseColWidth="10" defaultRowHeight="15" x14ac:dyDescent="0.25"/>
  <cols>
    <col min="1" max="1" width="5.5703125" customWidth="1"/>
    <col min="2" max="2" width="32.28515625" customWidth="1"/>
    <col min="3" max="3" width="25.140625" customWidth="1"/>
    <col min="4" max="4" width="113.140625" customWidth="1"/>
  </cols>
  <sheetData>
    <row r="1" spans="1:4" x14ac:dyDescent="0.25">
      <c r="A1" s="37" t="s">
        <v>40</v>
      </c>
    </row>
    <row r="3" spans="1:4" x14ac:dyDescent="0.25">
      <c r="A3" s="11" t="s">
        <v>41</v>
      </c>
      <c r="B3" s="11" t="s">
        <v>0</v>
      </c>
      <c r="C3" s="10" t="s">
        <v>49</v>
      </c>
      <c r="D3" s="39" t="s">
        <v>64</v>
      </c>
    </row>
    <row r="4" spans="1:4" x14ac:dyDescent="0.25">
      <c r="A4" s="10" t="s">
        <v>42</v>
      </c>
      <c r="B4" s="4" t="s">
        <v>1</v>
      </c>
      <c r="C4" s="4" t="s">
        <v>77</v>
      </c>
      <c r="D4" s="40" t="s">
        <v>43</v>
      </c>
    </row>
    <row r="5" spans="1:4" x14ac:dyDescent="0.25">
      <c r="A5" s="10" t="s">
        <v>44</v>
      </c>
      <c r="B5" s="4" t="s">
        <v>3</v>
      </c>
      <c r="C5" s="4" t="s">
        <v>75</v>
      </c>
      <c r="D5" s="40" t="s">
        <v>71</v>
      </c>
    </row>
    <row r="6" spans="1:4" x14ac:dyDescent="0.25">
      <c r="A6" s="10" t="s">
        <v>45</v>
      </c>
      <c r="B6" s="4" t="s">
        <v>46</v>
      </c>
      <c r="C6" s="4" t="s">
        <v>76</v>
      </c>
      <c r="D6" s="40" t="s">
        <v>47</v>
      </c>
    </row>
    <row r="7" spans="1:4" x14ac:dyDescent="0.25">
      <c r="A7" s="10" t="s">
        <v>48</v>
      </c>
      <c r="B7" s="4" t="s">
        <v>4</v>
      </c>
      <c r="C7" s="4" t="s">
        <v>77</v>
      </c>
      <c r="D7" s="40" t="s">
        <v>51</v>
      </c>
    </row>
    <row r="8" spans="1:4" x14ac:dyDescent="0.25">
      <c r="A8" s="10" t="s">
        <v>52</v>
      </c>
      <c r="B8" s="4" t="s">
        <v>38</v>
      </c>
      <c r="C8" s="4" t="s">
        <v>53</v>
      </c>
      <c r="D8" s="40" t="s">
        <v>54</v>
      </c>
    </row>
    <row r="9" spans="1:4" x14ac:dyDescent="0.25">
      <c r="A9" s="10" t="s">
        <v>86</v>
      </c>
      <c r="B9" s="4" t="s">
        <v>5</v>
      </c>
      <c r="C9" s="4" t="s">
        <v>53</v>
      </c>
      <c r="D9" s="40" t="s">
        <v>72</v>
      </c>
    </row>
    <row r="10" spans="1:4" x14ac:dyDescent="0.25">
      <c r="A10" s="10" t="s">
        <v>55</v>
      </c>
      <c r="B10" s="4" t="s">
        <v>7</v>
      </c>
      <c r="C10" s="4" t="s">
        <v>78</v>
      </c>
      <c r="D10" s="40" t="s">
        <v>57</v>
      </c>
    </row>
    <row r="11" spans="1:4" x14ac:dyDescent="0.25">
      <c r="A11" s="10" t="s">
        <v>56</v>
      </c>
      <c r="B11" s="4" t="s">
        <v>9</v>
      </c>
      <c r="C11" s="4" t="s">
        <v>53</v>
      </c>
      <c r="D11" s="40" t="s">
        <v>58</v>
      </c>
    </row>
    <row r="12" spans="1:4" ht="15.75" thickBot="1" x14ac:dyDescent="0.3">
      <c r="D12" s="38"/>
    </row>
    <row r="13" spans="1:4" ht="31.5" customHeight="1" x14ac:dyDescent="0.25">
      <c r="A13" s="45" t="s">
        <v>63</v>
      </c>
      <c r="B13" s="46" t="s">
        <v>36</v>
      </c>
      <c r="C13" s="43" t="s">
        <v>49</v>
      </c>
      <c r="D13" s="44" t="s">
        <v>64</v>
      </c>
    </row>
    <row r="14" spans="1:4" x14ac:dyDescent="0.25">
      <c r="A14" s="21" t="s">
        <v>65</v>
      </c>
      <c r="B14" s="4" t="s">
        <v>1</v>
      </c>
      <c r="C14" s="4" t="s">
        <v>75</v>
      </c>
      <c r="D14" s="41" t="s">
        <v>66</v>
      </c>
    </row>
    <row r="15" spans="1:4" x14ac:dyDescent="0.25">
      <c r="A15" s="21" t="s">
        <v>67</v>
      </c>
      <c r="B15" s="4" t="s">
        <v>3</v>
      </c>
      <c r="C15" s="4" t="s">
        <v>75</v>
      </c>
      <c r="D15" s="41" t="s">
        <v>68</v>
      </c>
    </row>
    <row r="16" spans="1:4" x14ac:dyDescent="0.25">
      <c r="A16" s="21" t="s">
        <v>80</v>
      </c>
      <c r="B16" s="4" t="s">
        <v>46</v>
      </c>
      <c r="C16" s="4" t="s">
        <v>76</v>
      </c>
      <c r="D16" s="41" t="s">
        <v>69</v>
      </c>
    </row>
    <row r="17" spans="1:4" x14ac:dyDescent="0.25">
      <c r="A17" s="21" t="s">
        <v>81</v>
      </c>
      <c r="B17" s="4" t="s">
        <v>4</v>
      </c>
      <c r="C17" s="4" t="s">
        <v>53</v>
      </c>
      <c r="D17" s="41" t="s">
        <v>70</v>
      </c>
    </row>
    <row r="18" spans="1:4" x14ac:dyDescent="0.25">
      <c r="A18" s="21" t="s">
        <v>82</v>
      </c>
      <c r="B18" s="4" t="s">
        <v>38</v>
      </c>
      <c r="C18" s="4" t="s">
        <v>53</v>
      </c>
      <c r="D18" s="41" t="s">
        <v>69</v>
      </c>
    </row>
    <row r="19" spans="1:4" x14ac:dyDescent="0.25">
      <c r="A19" s="21" t="s">
        <v>83</v>
      </c>
      <c r="B19" s="4" t="s">
        <v>5</v>
      </c>
      <c r="C19" s="4" t="s">
        <v>53</v>
      </c>
      <c r="D19" s="41" t="s">
        <v>73</v>
      </c>
    </row>
    <row r="20" spans="1:4" x14ac:dyDescent="0.25">
      <c r="A20" s="21" t="s">
        <v>84</v>
      </c>
      <c r="B20" s="4" t="s">
        <v>7</v>
      </c>
      <c r="C20" s="4" t="s">
        <v>75</v>
      </c>
      <c r="D20" s="41" t="s">
        <v>74</v>
      </c>
    </row>
    <row r="21" spans="1:4" ht="15.75" thickBot="1" x14ac:dyDescent="0.3">
      <c r="A21" s="23" t="s">
        <v>85</v>
      </c>
      <c r="B21" s="25" t="s">
        <v>9</v>
      </c>
      <c r="C21" s="25" t="s">
        <v>53</v>
      </c>
      <c r="D21" s="42" t="s">
        <v>79</v>
      </c>
    </row>
    <row r="22" spans="1:4" ht="15.75" thickBot="1" x14ac:dyDescent="0.3">
      <c r="D22" s="38"/>
    </row>
    <row r="23" spans="1:4" ht="45" x14ac:dyDescent="0.25">
      <c r="A23" s="45" t="s">
        <v>87</v>
      </c>
      <c r="B23" s="46" t="s">
        <v>37</v>
      </c>
      <c r="C23" s="43" t="s">
        <v>49</v>
      </c>
      <c r="D23" s="44" t="s">
        <v>64</v>
      </c>
    </row>
    <row r="24" spans="1:4" x14ac:dyDescent="0.25">
      <c r="A24" s="21" t="s">
        <v>88</v>
      </c>
      <c r="B24" s="4" t="s">
        <v>12</v>
      </c>
      <c r="C24" s="4" t="s">
        <v>75</v>
      </c>
      <c r="D24" s="41" t="s">
        <v>91</v>
      </c>
    </row>
    <row r="25" spans="1:4" x14ac:dyDescent="0.25">
      <c r="A25" s="21" t="s">
        <v>89</v>
      </c>
      <c r="B25" s="4" t="s">
        <v>15</v>
      </c>
      <c r="C25" s="4" t="s">
        <v>75</v>
      </c>
      <c r="D25" s="41" t="s">
        <v>92</v>
      </c>
    </row>
    <row r="26" spans="1:4" x14ac:dyDescent="0.25">
      <c r="A26" s="21" t="s">
        <v>90</v>
      </c>
      <c r="B26" s="4" t="s">
        <v>16</v>
      </c>
      <c r="C26" s="4" t="s">
        <v>75</v>
      </c>
      <c r="D26" s="41" t="s">
        <v>94</v>
      </c>
    </row>
    <row r="27" spans="1:4" ht="30" x14ac:dyDescent="0.25">
      <c r="A27" s="21" t="s">
        <v>95</v>
      </c>
      <c r="B27" s="4" t="s">
        <v>93</v>
      </c>
      <c r="C27" s="4" t="s">
        <v>53</v>
      </c>
      <c r="D27" s="41" t="s">
        <v>96</v>
      </c>
    </row>
    <row r="28" spans="1:4" ht="30" x14ac:dyDescent="0.25">
      <c r="A28" s="21" t="s">
        <v>97</v>
      </c>
      <c r="B28" s="4" t="s">
        <v>18</v>
      </c>
      <c r="C28" s="4" t="s">
        <v>75</v>
      </c>
      <c r="D28" s="41" t="s">
        <v>98</v>
      </c>
    </row>
    <row r="29" spans="1:4" ht="15.75" thickBot="1" x14ac:dyDescent="0.3">
      <c r="A29" s="23" t="s">
        <v>99</v>
      </c>
      <c r="B29" s="25" t="s">
        <v>19</v>
      </c>
      <c r="C29" s="25" t="s">
        <v>53</v>
      </c>
      <c r="D29" s="42" t="s">
        <v>100</v>
      </c>
    </row>
    <row r="30" spans="1:4" ht="15.75" thickBot="1" x14ac:dyDescent="0.3">
      <c r="D30" s="38"/>
    </row>
    <row r="31" spans="1:4" ht="30" x14ac:dyDescent="0.25">
      <c r="A31" s="45" t="s">
        <v>101</v>
      </c>
      <c r="B31" s="46" t="s">
        <v>102</v>
      </c>
      <c r="C31" s="43" t="s">
        <v>49</v>
      </c>
      <c r="D31" s="44" t="s">
        <v>64</v>
      </c>
    </row>
    <row r="32" spans="1:4" x14ac:dyDescent="0.25">
      <c r="A32" s="21" t="s">
        <v>103</v>
      </c>
      <c r="B32" s="4" t="s">
        <v>9</v>
      </c>
      <c r="C32" s="4" t="s">
        <v>53</v>
      </c>
      <c r="D32" s="41" t="s">
        <v>107</v>
      </c>
    </row>
    <row r="33" spans="1:4" x14ac:dyDescent="0.25">
      <c r="A33" s="21" t="s">
        <v>104</v>
      </c>
      <c r="B33" s="4" t="s">
        <v>15</v>
      </c>
      <c r="C33" s="4" t="s">
        <v>50</v>
      </c>
      <c r="D33" s="41" t="s">
        <v>108</v>
      </c>
    </row>
    <row r="34" spans="1:4" ht="60" x14ac:dyDescent="0.25">
      <c r="A34" s="21" t="s">
        <v>105</v>
      </c>
      <c r="B34" s="4" t="s">
        <v>109</v>
      </c>
      <c r="C34" s="4" t="s">
        <v>75</v>
      </c>
      <c r="D34" s="41" t="s">
        <v>110</v>
      </c>
    </row>
    <row r="35" spans="1:4" x14ac:dyDescent="0.25">
      <c r="A35" s="21" t="s">
        <v>106</v>
      </c>
      <c r="B35" s="4" t="s">
        <v>39</v>
      </c>
      <c r="C35" s="4" t="s">
        <v>50</v>
      </c>
      <c r="D35" s="41" t="s">
        <v>111</v>
      </c>
    </row>
    <row r="36" spans="1:4" ht="30" x14ac:dyDescent="0.25">
      <c r="A36" s="21" t="s">
        <v>112</v>
      </c>
      <c r="B36" s="4" t="s">
        <v>23</v>
      </c>
      <c r="C36" s="4" t="s">
        <v>53</v>
      </c>
      <c r="D36" s="41" t="s">
        <v>113</v>
      </c>
    </row>
    <row r="37" spans="1:4" x14ac:dyDescent="0.25">
      <c r="A37" s="21" t="s">
        <v>114</v>
      </c>
      <c r="B37" s="4" t="s">
        <v>24</v>
      </c>
      <c r="C37" s="4" t="s">
        <v>75</v>
      </c>
      <c r="D37" s="41" t="s">
        <v>115</v>
      </c>
    </row>
    <row r="38" spans="1:4" x14ac:dyDescent="0.25">
      <c r="A38" s="21" t="s">
        <v>116</v>
      </c>
      <c r="B38" s="4" t="s">
        <v>25</v>
      </c>
      <c r="C38" s="4" t="s">
        <v>53</v>
      </c>
      <c r="D38" s="41" t="s">
        <v>117</v>
      </c>
    </row>
    <row r="39" spans="1:4" ht="15.75" thickBot="1" x14ac:dyDescent="0.3">
      <c r="A39" s="23" t="s">
        <v>118</v>
      </c>
      <c r="B39" s="25" t="s">
        <v>119</v>
      </c>
      <c r="C39" s="25" t="s">
        <v>53</v>
      </c>
      <c r="D39" s="42" t="s">
        <v>120</v>
      </c>
    </row>
  </sheetData>
  <pageMargins left="0.7" right="0.7" top="0.78740157499999996" bottom="0.78740157499999996"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7"/>
  <sheetViews>
    <sheetView workbookViewId="0">
      <selection activeCell="F36" sqref="F36"/>
    </sheetView>
  </sheetViews>
  <sheetFormatPr baseColWidth="10" defaultRowHeight="15" x14ac:dyDescent="0.25"/>
  <cols>
    <col min="2" max="2" width="12" bestFit="1" customWidth="1"/>
    <col min="3" max="3" width="14" customWidth="1"/>
    <col min="4" max="4" width="18.28515625" customWidth="1"/>
    <col min="5" max="5" width="15.85546875" customWidth="1"/>
    <col min="6" max="6" width="12" bestFit="1" customWidth="1"/>
    <col min="7" max="7" width="13.5703125" customWidth="1"/>
  </cols>
  <sheetData>
    <row r="1" spans="1:7" x14ac:dyDescent="0.25">
      <c r="A1" t="s">
        <v>20</v>
      </c>
    </row>
    <row r="3" spans="1:7" x14ac:dyDescent="0.25">
      <c r="A3" t="s">
        <v>33</v>
      </c>
    </row>
    <row r="4" spans="1:7" x14ac:dyDescent="0.25">
      <c r="A4" s="10" t="s">
        <v>26</v>
      </c>
      <c r="B4" s="10" t="s">
        <v>27</v>
      </c>
      <c r="C4" s="10" t="s">
        <v>9</v>
      </c>
      <c r="D4" s="10" t="s">
        <v>28</v>
      </c>
      <c r="E4" s="10" t="s">
        <v>29</v>
      </c>
      <c r="F4" s="10" t="s">
        <v>30</v>
      </c>
      <c r="G4" s="50" t="s">
        <v>126</v>
      </c>
    </row>
    <row r="5" spans="1:7" x14ac:dyDescent="0.25">
      <c r="A5" s="10">
        <v>1</v>
      </c>
      <c r="B5" s="8">
        <f>Kalkulation!H11</f>
        <v>10297.762499999999</v>
      </c>
      <c r="C5" s="8">
        <f>-Kalkulation!D11</f>
        <v>-7088.4210526315801</v>
      </c>
      <c r="D5" s="8">
        <f>-Kalkulation!B16</f>
        <v>-17500</v>
      </c>
      <c r="E5" s="8">
        <f>-Kalkulation!B23</f>
        <v>-882.5</v>
      </c>
      <c r="F5" s="8">
        <f>B5+C5+D5+E5</f>
        <v>-15173.158552631581</v>
      </c>
      <c r="G5" s="3">
        <f>F5</f>
        <v>-15173.158552631581</v>
      </c>
    </row>
    <row r="6" spans="1:7" x14ac:dyDescent="0.25">
      <c r="A6" s="10">
        <v>2</v>
      </c>
      <c r="B6" s="8">
        <f>B5</f>
        <v>10297.762499999999</v>
      </c>
      <c r="C6" s="8">
        <f>C5</f>
        <v>-7088.4210526315801</v>
      </c>
      <c r="D6" s="8"/>
      <c r="E6" s="8">
        <f>E5</f>
        <v>-882.5</v>
      </c>
      <c r="F6" s="8">
        <f t="shared" ref="F6:F14" si="0">B6+C6+D6+E6</f>
        <v>2326.8414473684188</v>
      </c>
      <c r="G6" s="3">
        <f>G5+F6</f>
        <v>-12846.317105263162</v>
      </c>
    </row>
    <row r="7" spans="1:7" x14ac:dyDescent="0.25">
      <c r="A7" s="10">
        <v>3</v>
      </c>
      <c r="B7" s="8">
        <f t="shared" ref="B7:B13" si="1">B6</f>
        <v>10297.762499999999</v>
      </c>
      <c r="C7" s="8">
        <f t="shared" ref="C7:C14" si="2">C6</f>
        <v>-7088.4210526315801</v>
      </c>
      <c r="D7" s="8"/>
      <c r="E7" s="8">
        <f t="shared" ref="E7:E14" si="3">E6</f>
        <v>-882.5</v>
      </c>
      <c r="F7" s="8">
        <f t="shared" si="0"/>
        <v>2326.8414473684188</v>
      </c>
      <c r="G7" s="3">
        <f t="shared" ref="G7:G14" si="4">G6+F7</f>
        <v>-10519.475657894744</v>
      </c>
    </row>
    <row r="8" spans="1:7" x14ac:dyDescent="0.25">
      <c r="A8" s="10">
        <v>4</v>
      </c>
      <c r="B8" s="8">
        <f t="shared" si="1"/>
        <v>10297.762499999999</v>
      </c>
      <c r="C8" s="8">
        <f t="shared" si="2"/>
        <v>-7088.4210526315801</v>
      </c>
      <c r="D8" s="8"/>
      <c r="E8" s="8">
        <f t="shared" si="3"/>
        <v>-882.5</v>
      </c>
      <c r="F8" s="8">
        <f t="shared" si="0"/>
        <v>2326.8414473684188</v>
      </c>
      <c r="G8" s="3">
        <f t="shared" si="4"/>
        <v>-8192.6342105263248</v>
      </c>
    </row>
    <row r="9" spans="1:7" x14ac:dyDescent="0.25">
      <c r="A9" s="10">
        <v>5</v>
      </c>
      <c r="B9" s="8">
        <f t="shared" si="1"/>
        <v>10297.762499999999</v>
      </c>
      <c r="C9" s="8">
        <f t="shared" si="2"/>
        <v>-7088.4210526315801</v>
      </c>
      <c r="D9" s="8"/>
      <c r="E9" s="8">
        <f t="shared" si="3"/>
        <v>-882.5</v>
      </c>
      <c r="F9" s="8">
        <f t="shared" si="0"/>
        <v>2326.8414473684188</v>
      </c>
      <c r="G9" s="3">
        <f t="shared" si="4"/>
        <v>-5865.7927631579059</v>
      </c>
    </row>
    <row r="10" spans="1:7" x14ac:dyDescent="0.25">
      <c r="A10" s="10">
        <v>6</v>
      </c>
      <c r="B10" s="8">
        <f t="shared" si="1"/>
        <v>10297.762499999999</v>
      </c>
      <c r="C10" s="8">
        <f t="shared" si="2"/>
        <v>-7088.4210526315801</v>
      </c>
      <c r="D10" s="8"/>
      <c r="E10" s="8">
        <f t="shared" si="3"/>
        <v>-882.5</v>
      </c>
      <c r="F10" s="8">
        <f t="shared" si="0"/>
        <v>2326.8414473684188</v>
      </c>
      <c r="G10" s="3">
        <f t="shared" si="4"/>
        <v>-3538.9513157894871</v>
      </c>
    </row>
    <row r="11" spans="1:7" x14ac:dyDescent="0.25">
      <c r="A11" s="10">
        <v>7</v>
      </c>
      <c r="B11" s="8">
        <f t="shared" si="1"/>
        <v>10297.762499999999</v>
      </c>
      <c r="C11" s="8">
        <f t="shared" si="2"/>
        <v>-7088.4210526315801</v>
      </c>
      <c r="D11" s="8"/>
      <c r="E11" s="8">
        <f t="shared" si="3"/>
        <v>-882.5</v>
      </c>
      <c r="F11" s="8">
        <f t="shared" si="0"/>
        <v>2326.8414473684188</v>
      </c>
      <c r="G11" s="3">
        <f t="shared" si="4"/>
        <v>-1212.1098684210683</v>
      </c>
    </row>
    <row r="12" spans="1:7" x14ac:dyDescent="0.25">
      <c r="A12" s="10">
        <v>8</v>
      </c>
      <c r="B12" s="8">
        <f t="shared" si="1"/>
        <v>10297.762499999999</v>
      </c>
      <c r="C12" s="8">
        <f t="shared" si="2"/>
        <v>-7088.4210526315801</v>
      </c>
      <c r="D12" s="8"/>
      <c r="E12" s="8">
        <f t="shared" si="3"/>
        <v>-882.5</v>
      </c>
      <c r="F12" s="8">
        <f t="shared" si="0"/>
        <v>2326.8414473684188</v>
      </c>
      <c r="G12" s="3">
        <f t="shared" si="4"/>
        <v>1114.7315789473505</v>
      </c>
    </row>
    <row r="13" spans="1:7" x14ac:dyDescent="0.25">
      <c r="A13" s="10">
        <v>9</v>
      </c>
      <c r="B13" s="8">
        <f t="shared" si="1"/>
        <v>10297.762499999999</v>
      </c>
      <c r="C13" s="8">
        <f t="shared" si="2"/>
        <v>-7088.4210526315801</v>
      </c>
      <c r="D13" s="8"/>
      <c r="E13" s="8">
        <f t="shared" si="3"/>
        <v>-882.5</v>
      </c>
      <c r="F13" s="8">
        <f t="shared" si="0"/>
        <v>2326.8414473684188</v>
      </c>
      <c r="G13" s="3">
        <f t="shared" si="4"/>
        <v>3441.5730263157693</v>
      </c>
    </row>
    <row r="14" spans="1:7" x14ac:dyDescent="0.25">
      <c r="A14" s="10">
        <v>10</v>
      </c>
      <c r="B14" s="8">
        <f>B13+Kalkulation!H12</f>
        <v>16131.095833333333</v>
      </c>
      <c r="C14" s="8">
        <f t="shared" si="2"/>
        <v>-7088.4210526315801</v>
      </c>
      <c r="D14" s="8"/>
      <c r="E14" s="8">
        <f t="shared" si="3"/>
        <v>-882.5</v>
      </c>
      <c r="F14" s="8">
        <f t="shared" si="0"/>
        <v>8160.1747807017528</v>
      </c>
      <c r="G14" s="3">
        <f t="shared" si="4"/>
        <v>11601.747807017522</v>
      </c>
    </row>
    <row r="15" spans="1:7" x14ac:dyDescent="0.25">
      <c r="A15" s="51"/>
      <c r="B15" s="52"/>
      <c r="C15" s="52"/>
      <c r="D15" s="52"/>
      <c r="E15" s="52"/>
      <c r="F15" s="52">
        <f>SUM(F5:F14)</f>
        <v>11601.747807017522</v>
      </c>
    </row>
    <row r="16" spans="1:7" x14ac:dyDescent="0.25">
      <c r="F16" s="1">
        <f>IRR(F5:F14,0)</f>
        <v>0.10986978705635275</v>
      </c>
      <c r="G16" t="s">
        <v>35</v>
      </c>
    </row>
    <row r="17" spans="1:7" x14ac:dyDescent="0.25">
      <c r="E17" t="s">
        <v>121</v>
      </c>
      <c r="F17" s="47">
        <f>NPV(Kalkulation!B25,Renditebetrachtung!F5:F14)</f>
        <v>4881.7468578074222</v>
      </c>
    </row>
    <row r="18" spans="1:7" x14ac:dyDescent="0.25">
      <c r="A18" t="s">
        <v>34</v>
      </c>
    </row>
    <row r="19" spans="1:7" x14ac:dyDescent="0.25">
      <c r="A19" s="10" t="s">
        <v>26</v>
      </c>
      <c r="B19" s="10" t="s">
        <v>27</v>
      </c>
      <c r="C19" s="10" t="s">
        <v>9</v>
      </c>
      <c r="D19" s="10" t="s">
        <v>28</v>
      </c>
      <c r="E19" s="10" t="s">
        <v>29</v>
      </c>
      <c r="F19" s="10" t="s">
        <v>30</v>
      </c>
      <c r="G19" s="50" t="s">
        <v>126</v>
      </c>
    </row>
    <row r="20" spans="1:7" x14ac:dyDescent="0.25">
      <c r="A20" s="10">
        <v>1</v>
      </c>
      <c r="B20" s="9">
        <f>B5</f>
        <v>10297.762499999999</v>
      </c>
      <c r="C20" s="5">
        <f>-Kalkulation!D11</f>
        <v>-7088.4210526315801</v>
      </c>
      <c r="D20" s="7">
        <f>-Kalkulation!B16</f>
        <v>-17500</v>
      </c>
      <c r="E20" s="5">
        <f>-Kalkulation!B23</f>
        <v>-882.5</v>
      </c>
      <c r="F20" s="9">
        <f>SUM(B20:E20)</f>
        <v>-15173.158552631581</v>
      </c>
      <c r="G20" s="3">
        <f>F20</f>
        <v>-15173.158552631581</v>
      </c>
    </row>
    <row r="21" spans="1:7" x14ac:dyDescent="0.25">
      <c r="A21" s="10">
        <v>2</v>
      </c>
      <c r="B21" s="9">
        <f>B20</f>
        <v>10297.762499999999</v>
      </c>
      <c r="C21" s="5">
        <f>C20</f>
        <v>-7088.4210526315801</v>
      </c>
      <c r="D21" s="4"/>
      <c r="E21" s="5">
        <f>E20</f>
        <v>-882.5</v>
      </c>
      <c r="F21" s="9">
        <f t="shared" ref="F21:F34" si="5">SUM(B21:E21)</f>
        <v>2326.8414473684188</v>
      </c>
      <c r="G21" s="3">
        <f>G20+F21</f>
        <v>-12846.317105263162</v>
      </c>
    </row>
    <row r="22" spans="1:7" x14ac:dyDescent="0.25">
      <c r="A22" s="10">
        <v>3</v>
      </c>
      <c r="B22" s="9">
        <f t="shared" ref="B22:B34" si="6">B21</f>
        <v>10297.762499999999</v>
      </c>
      <c r="C22" s="5">
        <f t="shared" ref="C22:C34" si="7">C21</f>
        <v>-7088.4210526315801</v>
      </c>
      <c r="D22" s="4"/>
      <c r="E22" s="5">
        <f t="shared" ref="E22:E34" si="8">E21</f>
        <v>-882.5</v>
      </c>
      <c r="F22" s="9">
        <f t="shared" si="5"/>
        <v>2326.8414473684188</v>
      </c>
      <c r="G22" s="3">
        <f t="shared" ref="G22:G34" si="9">G21+F22</f>
        <v>-10519.475657894744</v>
      </c>
    </row>
    <row r="23" spans="1:7" x14ac:dyDescent="0.25">
      <c r="A23" s="10">
        <v>4</v>
      </c>
      <c r="B23" s="9">
        <f t="shared" si="6"/>
        <v>10297.762499999999</v>
      </c>
      <c r="C23" s="5">
        <f t="shared" si="7"/>
        <v>-7088.4210526315801</v>
      </c>
      <c r="D23" s="4"/>
      <c r="E23" s="5">
        <f t="shared" si="8"/>
        <v>-882.5</v>
      </c>
      <c r="F23" s="9">
        <f t="shared" si="5"/>
        <v>2326.8414473684188</v>
      </c>
      <c r="G23" s="3">
        <f t="shared" si="9"/>
        <v>-8192.6342105263248</v>
      </c>
    </row>
    <row r="24" spans="1:7" x14ac:dyDescent="0.25">
      <c r="A24" s="10">
        <v>5</v>
      </c>
      <c r="B24" s="9">
        <f t="shared" si="6"/>
        <v>10297.762499999999</v>
      </c>
      <c r="C24" s="5">
        <f t="shared" si="7"/>
        <v>-7088.4210526315801</v>
      </c>
      <c r="D24" s="4"/>
      <c r="E24" s="5">
        <f t="shared" si="8"/>
        <v>-882.5</v>
      </c>
      <c r="F24" s="9">
        <f t="shared" si="5"/>
        <v>2326.8414473684188</v>
      </c>
      <c r="G24" s="3">
        <f t="shared" si="9"/>
        <v>-5865.7927631579059</v>
      </c>
    </row>
    <row r="25" spans="1:7" x14ac:dyDescent="0.25">
      <c r="A25" s="10">
        <v>6</v>
      </c>
      <c r="B25" s="9">
        <f t="shared" si="6"/>
        <v>10297.762499999999</v>
      </c>
      <c r="C25" s="5">
        <f t="shared" si="7"/>
        <v>-7088.4210526315801</v>
      </c>
      <c r="D25" s="4"/>
      <c r="E25" s="5">
        <f t="shared" si="8"/>
        <v>-882.5</v>
      </c>
      <c r="F25" s="9">
        <f t="shared" si="5"/>
        <v>2326.8414473684188</v>
      </c>
      <c r="G25" s="3">
        <f t="shared" si="9"/>
        <v>-3538.9513157894871</v>
      </c>
    </row>
    <row r="26" spans="1:7" x14ac:dyDescent="0.25">
      <c r="A26" s="10">
        <v>7</v>
      </c>
      <c r="B26" s="9">
        <f t="shared" si="6"/>
        <v>10297.762499999999</v>
      </c>
      <c r="C26" s="5">
        <f t="shared" si="7"/>
        <v>-7088.4210526315801</v>
      </c>
      <c r="D26" s="4"/>
      <c r="E26" s="5">
        <f t="shared" si="8"/>
        <v>-882.5</v>
      </c>
      <c r="F26" s="9">
        <f t="shared" si="5"/>
        <v>2326.8414473684188</v>
      </c>
      <c r="G26" s="3">
        <f t="shared" si="9"/>
        <v>-1212.1098684210683</v>
      </c>
    </row>
    <row r="27" spans="1:7" x14ac:dyDescent="0.25">
      <c r="A27" s="10">
        <v>8</v>
      </c>
      <c r="B27" s="9">
        <f t="shared" si="6"/>
        <v>10297.762499999999</v>
      </c>
      <c r="C27" s="5">
        <f t="shared" si="7"/>
        <v>-7088.4210526315801</v>
      </c>
      <c r="D27" s="4"/>
      <c r="E27" s="5">
        <f t="shared" si="8"/>
        <v>-882.5</v>
      </c>
      <c r="F27" s="9">
        <f t="shared" si="5"/>
        <v>2326.8414473684188</v>
      </c>
      <c r="G27" s="3">
        <f t="shared" si="9"/>
        <v>1114.7315789473505</v>
      </c>
    </row>
    <row r="28" spans="1:7" x14ac:dyDescent="0.25">
      <c r="A28" s="10">
        <v>9</v>
      </c>
      <c r="B28" s="9">
        <f t="shared" si="6"/>
        <v>10297.762499999999</v>
      </c>
      <c r="C28" s="5">
        <f t="shared" si="7"/>
        <v>-7088.4210526315801</v>
      </c>
      <c r="D28" s="4"/>
      <c r="E28" s="5">
        <f t="shared" si="8"/>
        <v>-882.5</v>
      </c>
      <c r="F28" s="9">
        <f t="shared" si="5"/>
        <v>2326.8414473684188</v>
      </c>
      <c r="G28" s="3">
        <f t="shared" si="9"/>
        <v>3441.5730263157693</v>
      </c>
    </row>
    <row r="29" spans="1:7" x14ac:dyDescent="0.25">
      <c r="A29" s="10">
        <v>10</v>
      </c>
      <c r="B29" s="9">
        <f t="shared" si="6"/>
        <v>10297.762499999999</v>
      </c>
      <c r="C29" s="5">
        <f t="shared" si="7"/>
        <v>-7088.4210526315801</v>
      </c>
      <c r="D29" s="4"/>
      <c r="E29" s="5">
        <f t="shared" si="8"/>
        <v>-882.5</v>
      </c>
      <c r="F29" s="9">
        <f t="shared" si="5"/>
        <v>2326.8414473684188</v>
      </c>
      <c r="G29" s="3">
        <f t="shared" si="9"/>
        <v>5768.4144736841881</v>
      </c>
    </row>
    <row r="30" spans="1:7" x14ac:dyDescent="0.25">
      <c r="A30" s="10">
        <v>11</v>
      </c>
      <c r="B30" s="9">
        <f t="shared" si="6"/>
        <v>10297.762499999999</v>
      </c>
      <c r="C30" s="5">
        <f t="shared" si="7"/>
        <v>-7088.4210526315801</v>
      </c>
      <c r="D30" s="4"/>
      <c r="E30" s="5">
        <f t="shared" si="8"/>
        <v>-882.5</v>
      </c>
      <c r="F30" s="9">
        <f t="shared" si="5"/>
        <v>2326.8414473684188</v>
      </c>
      <c r="G30" s="3">
        <f t="shared" si="9"/>
        <v>8095.2559210526069</v>
      </c>
    </row>
    <row r="31" spans="1:7" x14ac:dyDescent="0.25">
      <c r="A31" s="10">
        <v>12</v>
      </c>
      <c r="B31" s="9">
        <f t="shared" si="6"/>
        <v>10297.762499999999</v>
      </c>
      <c r="C31" s="5">
        <f t="shared" si="7"/>
        <v>-7088.4210526315801</v>
      </c>
      <c r="D31" s="4"/>
      <c r="E31" s="5">
        <f t="shared" si="8"/>
        <v>-882.5</v>
      </c>
      <c r="F31" s="9">
        <f t="shared" si="5"/>
        <v>2326.8414473684188</v>
      </c>
      <c r="G31" s="3">
        <f t="shared" si="9"/>
        <v>10422.097368421026</v>
      </c>
    </row>
    <row r="32" spans="1:7" x14ac:dyDescent="0.25">
      <c r="A32" s="10">
        <v>13</v>
      </c>
      <c r="B32" s="9">
        <f t="shared" si="6"/>
        <v>10297.762499999999</v>
      </c>
      <c r="C32" s="5">
        <f t="shared" si="7"/>
        <v>-7088.4210526315801</v>
      </c>
      <c r="D32" s="4"/>
      <c r="E32" s="5">
        <f t="shared" si="8"/>
        <v>-882.5</v>
      </c>
      <c r="F32" s="9">
        <f t="shared" si="5"/>
        <v>2326.8414473684188</v>
      </c>
      <c r="G32" s="3">
        <f t="shared" si="9"/>
        <v>12748.938815789445</v>
      </c>
    </row>
    <row r="33" spans="1:7" x14ac:dyDescent="0.25">
      <c r="A33" s="10">
        <v>14</v>
      </c>
      <c r="B33" s="9">
        <f t="shared" si="6"/>
        <v>10297.762499999999</v>
      </c>
      <c r="C33" s="5">
        <f t="shared" si="7"/>
        <v>-7088.4210526315801</v>
      </c>
      <c r="D33" s="4"/>
      <c r="E33" s="5">
        <f t="shared" si="8"/>
        <v>-882.5</v>
      </c>
      <c r="F33" s="9">
        <f t="shared" si="5"/>
        <v>2326.8414473684188</v>
      </c>
      <c r="G33" s="3">
        <f t="shared" si="9"/>
        <v>15075.780263157863</v>
      </c>
    </row>
    <row r="34" spans="1:7" x14ac:dyDescent="0.25">
      <c r="A34" s="10">
        <v>15</v>
      </c>
      <c r="B34" s="9">
        <f t="shared" si="6"/>
        <v>10297.762499999999</v>
      </c>
      <c r="C34" s="5">
        <f t="shared" si="7"/>
        <v>-7088.4210526315801</v>
      </c>
      <c r="D34" s="4"/>
      <c r="E34" s="5">
        <f t="shared" si="8"/>
        <v>-882.5</v>
      </c>
      <c r="F34" s="9">
        <f t="shared" si="5"/>
        <v>2326.8414473684188</v>
      </c>
      <c r="G34" s="3">
        <f t="shared" si="9"/>
        <v>17402.621710526284</v>
      </c>
    </row>
    <row r="35" spans="1:7" x14ac:dyDescent="0.25">
      <c r="A35" s="51"/>
      <c r="B35" s="53"/>
      <c r="C35" s="54"/>
      <c r="D35" s="55"/>
      <c r="E35" s="54"/>
      <c r="F35" s="53">
        <f>SUM(F20:F34)</f>
        <v>17402.621710526284</v>
      </c>
      <c r="G35" s="3"/>
    </row>
    <row r="36" spans="1:7" x14ac:dyDescent="0.25">
      <c r="F36" s="1">
        <f>IRR(F20:F34,0)</f>
        <v>0.1232035064493251</v>
      </c>
    </row>
    <row r="37" spans="1:7" x14ac:dyDescent="0.25">
      <c r="E37" t="s">
        <v>121</v>
      </c>
      <c r="F37" s="48">
        <f>NPV(Kalkulation!B25,F20:F34)</f>
        <v>7485.1518660827005</v>
      </c>
    </row>
  </sheetData>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3</vt:i4>
      </vt:variant>
    </vt:vector>
  </HeadingPairs>
  <TitlesOfParts>
    <vt:vector size="3" baseType="lpstr">
      <vt:lpstr>Kalkulation</vt:lpstr>
      <vt:lpstr>Erläuterungen</vt:lpstr>
      <vt:lpstr>Renditebetrachtung</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Andreas Böhl</dc:creator>
  <cp:lastModifiedBy>Stefan Schulze-Sturm</cp:lastModifiedBy>
  <dcterms:created xsi:type="dcterms:W3CDTF">2016-02-12T10:58:48Z</dcterms:created>
  <dcterms:modified xsi:type="dcterms:W3CDTF">2016-03-08T15:20:45Z</dcterms:modified>
</cp:coreProperties>
</file>